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64" activeTab="0"/>
  </bookViews>
  <sheets>
    <sheet name="Carton IDCC 489" sheetId="1" r:id="rId1"/>
    <sheet name="Legale Liée" sheetId="2" r:id="rId2"/>
  </sheets>
  <definedNames>
    <definedName name="Excel_BuiltIn_Print_Area_12">#REF!</definedName>
    <definedName name="_xlnm.Print_Area" localSheetId="0">'Carton IDCC 489'!$A$2:$H$63</definedName>
    <definedName name="_xlnm.Print_Area" localSheetId="1">'Legale Liée'!$A$2:$H$63</definedName>
  </definedNames>
  <calcPr fullCalcOnLoad="1"/>
</workbook>
</file>

<file path=xl/sharedStrings.xml><?xml version="1.0" encoding="utf-8"?>
<sst xmlns="http://schemas.openxmlformats.org/spreadsheetml/2006/main" count="144" uniqueCount="67">
  <si>
    <t>Zone de la Convention collective</t>
  </si>
  <si>
    <t xml:space="preserve">Zone de calcul </t>
  </si>
  <si>
    <t>Simulation : indemnité de rupture conventionnelle</t>
  </si>
  <si>
    <t>janvier</t>
  </si>
  <si>
    <t>février</t>
  </si>
  <si>
    <t>Date du jour</t>
  </si>
  <si>
    <t>mars</t>
  </si>
  <si>
    <t>Date de naissance</t>
  </si>
  <si>
    <t>Age</t>
  </si>
  <si>
    <t>avril</t>
  </si>
  <si>
    <t>mai</t>
  </si>
  <si>
    <t>Date d'embauche</t>
  </si>
  <si>
    <t>jour</t>
  </si>
  <si>
    <t>mois</t>
  </si>
  <si>
    <t>année</t>
  </si>
  <si>
    <t>juin</t>
  </si>
  <si>
    <t>Date de rupture</t>
  </si>
  <si>
    <t>Embauche</t>
  </si>
  <si>
    <t>juillet</t>
  </si>
  <si>
    <t>Départ</t>
  </si>
  <si>
    <t>août</t>
  </si>
  <si>
    <t>Ancienneté retenue</t>
  </si>
  <si>
    <t>Cadre</t>
  </si>
  <si>
    <t>Calcul</t>
  </si>
  <si>
    <t>ans</t>
  </si>
  <si>
    <t>De 1 à 10 ans</t>
  </si>
  <si>
    <t>Plus de 10 ans</t>
  </si>
  <si>
    <t>septembre</t>
  </si>
  <si>
    <t>années</t>
  </si>
  <si>
    <t>Indemnité légale</t>
  </si>
  <si>
    <t>Ancienneté</t>
  </si>
  <si>
    <t>octobre</t>
  </si>
  <si>
    <t>Ancienneté réelle</t>
  </si>
  <si>
    <t>Droits convention ouverts</t>
  </si>
  <si>
    <t>en années</t>
  </si>
  <si>
    <t>novembre</t>
  </si>
  <si>
    <t>jours</t>
  </si>
  <si>
    <t>Plafond</t>
  </si>
  <si>
    <t>soit</t>
  </si>
  <si>
    <t>décembre</t>
  </si>
  <si>
    <t>Néant</t>
  </si>
  <si>
    <t>Critères de calcul</t>
  </si>
  <si>
    <t>Coefficient</t>
  </si>
  <si>
    <t>néant</t>
  </si>
  <si>
    <t>Ouvrier</t>
  </si>
  <si>
    <t>Salaires bruts</t>
  </si>
  <si>
    <t>Moy 1 an</t>
  </si>
  <si>
    <t>Moy 1 trim</t>
  </si>
  <si>
    <t>Valeur la plus avantageuse</t>
  </si>
  <si>
    <t>Coefficient convention</t>
  </si>
  <si>
    <t>Indemnité minimale</t>
  </si>
  <si>
    <t xml:space="preserve"> Le montant est donné à titre indicatif et demande à être confirmé par les services administratifs de l'entreprise</t>
  </si>
  <si>
    <t>CARTON IDCC 489</t>
  </si>
  <si>
    <t>Cartonnages IDCC 489.doc</t>
  </si>
  <si>
    <t>Limite ancienneté</t>
  </si>
  <si>
    <t>Agent de maîtrise</t>
  </si>
  <si>
    <t>Employé</t>
  </si>
  <si>
    <t>Technicien Dessinateur</t>
  </si>
  <si>
    <t>au delà de 10 ans</t>
  </si>
  <si>
    <t>Coefficient légal</t>
  </si>
  <si>
    <t>Pour consulter le texte de la CCN, cliquez sur l'icône &gt;&gt;&gt;&gt;</t>
  </si>
  <si>
    <t>Ce tableau vous permet de calculer l’indemnité de licenciement (ou de rupture conventionnelle) pour un salarié, en se basant sur la convention collective.
Remplissez les cases sur fond jaune et le total sera calculé automatiquement.
Mais attention, le montant indiqué est donné à titre indicatif.</t>
  </si>
  <si>
    <t>Tableau de simulation</t>
  </si>
  <si>
    <r>
      <t xml:space="preserve"> </t>
    </r>
    <r>
      <rPr>
        <b/>
        <i/>
        <sz val="12"/>
        <rFont val="Arial"/>
        <family val="2"/>
      </rPr>
      <t>Le montant est donné à titre indicatif et demande à être confirmé par les services administratifs de l'entreprise</t>
    </r>
  </si>
  <si>
    <t>Nom</t>
  </si>
  <si>
    <t>Attention, le montant indiqué est donné à titre indicatif.</t>
  </si>
  <si>
    <t>Pour consulter le texte, cliquez sur l'icône &gt;&gt;&gt;&gt;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</si>
</sst>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
    <numFmt numFmtId="167" formatCode="#,###.00"/>
    <numFmt numFmtId="168" formatCode="[$-40C]dddd\ d\ mmmm\ yyyy"/>
  </numFmts>
  <fonts count="18">
    <font>
      <sz val="10"/>
      <name val="Arial"/>
      <family val="2"/>
    </font>
    <font>
      <sz val="8"/>
      <name val="Arial"/>
      <family val="2"/>
    </font>
    <font>
      <b/>
      <sz val="12"/>
      <name val="Arial"/>
      <family val="2"/>
    </font>
    <font>
      <sz val="14"/>
      <name val="Arial"/>
      <family val="2"/>
    </font>
    <font>
      <b/>
      <sz val="14"/>
      <name val="Arial"/>
      <family val="2"/>
    </font>
    <font>
      <u val="single"/>
      <sz val="10"/>
      <color indexed="12"/>
      <name val="Arial"/>
      <family val="2"/>
    </font>
    <font>
      <b/>
      <sz val="10"/>
      <name val="Arial"/>
      <family val="2"/>
    </font>
    <font>
      <b/>
      <sz val="8"/>
      <name val="Arial"/>
      <family val="2"/>
    </font>
    <font>
      <b/>
      <sz val="11"/>
      <name val="Arial"/>
      <family val="2"/>
    </font>
    <font>
      <b/>
      <i/>
      <sz val="10"/>
      <name val="Arial"/>
      <family val="2"/>
    </font>
    <font>
      <b/>
      <sz val="9"/>
      <name val="Arial"/>
      <family val="2"/>
    </font>
    <font>
      <b/>
      <i/>
      <sz val="8"/>
      <name val="Arial"/>
      <family val="2"/>
    </font>
    <font>
      <sz val="9"/>
      <name val="Arial"/>
      <family val="2"/>
    </font>
    <font>
      <sz val="12"/>
      <name val="Arial"/>
      <family val="2"/>
    </font>
    <font>
      <b/>
      <sz val="16"/>
      <name val="Arial"/>
      <family val="2"/>
    </font>
    <font>
      <b/>
      <i/>
      <sz val="12"/>
      <name val="Arial"/>
      <family val="2"/>
    </font>
    <font>
      <u val="single"/>
      <sz val="10"/>
      <color indexed="36"/>
      <name val="Arial"/>
      <family val="2"/>
    </font>
    <font>
      <sz val="8"/>
      <name val="Tahoma"/>
      <family val="2"/>
    </font>
  </fonts>
  <fills count="12">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53"/>
        <bgColor indexed="64"/>
      </patternFill>
    </fill>
    <fill>
      <patternFill patternType="solid">
        <fgColor indexed="49"/>
        <bgColor indexed="64"/>
      </patternFill>
    </fill>
    <fill>
      <patternFill patternType="solid">
        <fgColor indexed="44"/>
        <bgColor indexed="64"/>
      </patternFill>
    </fill>
    <fill>
      <patternFill patternType="solid">
        <fgColor indexed="63"/>
        <bgColor indexed="64"/>
      </patternFill>
    </fill>
    <fill>
      <patternFill patternType="solid">
        <fgColor indexed="24"/>
        <bgColor indexed="64"/>
      </patternFill>
    </fill>
    <fill>
      <patternFill patternType="solid">
        <fgColor indexed="42"/>
        <bgColor indexed="64"/>
      </patternFill>
    </fill>
    <fill>
      <patternFill patternType="solid">
        <fgColor indexed="47"/>
        <bgColor indexed="64"/>
      </patternFill>
    </fill>
  </fills>
  <borders count="2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color indexed="63"/>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39">
    <xf numFmtId="0" fontId="0" fillId="0" borderId="0" xfId="0" applyAlignment="1">
      <alignment/>
    </xf>
    <xf numFmtId="0" fontId="0" fillId="2" borderId="0" xfId="0" applyFont="1" applyFill="1" applyAlignment="1">
      <alignment/>
    </xf>
    <xf numFmtId="0" fontId="1" fillId="0" borderId="0" xfId="0" applyFont="1" applyAlignment="1">
      <alignment horizontal="right"/>
    </xf>
    <xf numFmtId="0" fontId="2" fillId="3" borderId="0" xfId="0" applyFont="1" applyFill="1" applyAlignment="1">
      <alignment/>
    </xf>
    <xf numFmtId="0" fontId="0" fillId="3" borderId="0" xfId="0" applyFill="1" applyAlignment="1">
      <alignment/>
    </xf>
    <xf numFmtId="0" fontId="2" fillId="2" borderId="0" xfId="0" applyFont="1" applyFill="1" applyAlignment="1">
      <alignment/>
    </xf>
    <xf numFmtId="0" fontId="1" fillId="2" borderId="0" xfId="0" applyFont="1" applyFill="1" applyAlignment="1">
      <alignment horizontal="right"/>
    </xf>
    <xf numFmtId="0" fontId="3" fillId="0" borderId="0" xfId="0" applyFont="1" applyAlignment="1">
      <alignment/>
    </xf>
    <xf numFmtId="0" fontId="3" fillId="3" borderId="0" xfId="0" applyFont="1" applyFill="1" applyAlignment="1">
      <alignment/>
    </xf>
    <xf numFmtId="0" fontId="3" fillId="2" borderId="0" xfId="0" applyFont="1" applyFill="1" applyAlignment="1">
      <alignment/>
    </xf>
    <xf numFmtId="0" fontId="3" fillId="2" borderId="0" xfId="0" applyFont="1" applyFill="1" applyAlignment="1">
      <alignment horizontal="right"/>
    </xf>
    <xf numFmtId="0" fontId="5" fillId="0" borderId="0" xfId="15" applyNumberFormat="1" applyFont="1" applyFill="1" applyBorder="1" applyAlignment="1" applyProtection="1">
      <alignment/>
      <protection/>
    </xf>
    <xf numFmtId="0" fontId="1" fillId="2" borderId="0" xfId="0" applyFont="1" applyFill="1" applyAlignment="1">
      <alignment/>
    </xf>
    <xf numFmtId="0" fontId="1" fillId="0" borderId="0" xfId="0" applyFont="1" applyAlignment="1">
      <alignment/>
    </xf>
    <xf numFmtId="0" fontId="0" fillId="0" borderId="0" xfId="0" applyFill="1" applyAlignment="1">
      <alignment/>
    </xf>
    <xf numFmtId="0" fontId="6" fillId="3" borderId="0" xfId="0" applyFont="1" applyFill="1" applyAlignment="1">
      <alignment/>
    </xf>
    <xf numFmtId="14" fontId="0" fillId="2" borderId="0" xfId="0" applyNumberFormat="1" applyFont="1" applyFill="1" applyAlignment="1">
      <alignment/>
    </xf>
    <xf numFmtId="0" fontId="0" fillId="0" borderId="1" xfId="0" applyFont="1" applyBorder="1" applyAlignment="1">
      <alignment/>
    </xf>
    <xf numFmtId="14" fontId="6" fillId="4" borderId="1" xfId="0" applyNumberFormat="1" applyFont="1" applyFill="1" applyBorder="1" applyAlignment="1" applyProtection="1">
      <alignment/>
      <protection locked="0"/>
    </xf>
    <xf numFmtId="0" fontId="0" fillId="2" borderId="0" xfId="0" applyNumberFormat="1" applyFont="1" applyFill="1" applyAlignment="1">
      <alignment/>
    </xf>
    <xf numFmtId="2" fontId="0" fillId="2" borderId="0" xfId="0" applyNumberFormat="1" applyFill="1" applyAlignment="1">
      <alignment/>
    </xf>
    <xf numFmtId="0" fontId="6" fillId="0" borderId="0" xfId="0" applyFont="1" applyFill="1" applyBorder="1" applyAlignment="1">
      <alignment/>
    </xf>
    <xf numFmtId="0" fontId="0" fillId="0" borderId="0" xfId="0" applyFont="1" applyFill="1" applyBorder="1" applyAlignment="1">
      <alignment/>
    </xf>
    <xf numFmtId="0" fontId="0" fillId="2" borderId="0" xfId="0" applyFont="1" applyFill="1" applyAlignment="1">
      <alignment horizontal="right"/>
    </xf>
    <xf numFmtId="0" fontId="7" fillId="3" borderId="0" xfId="0" applyFont="1" applyFill="1" applyAlignment="1">
      <alignment horizontal="right"/>
    </xf>
    <xf numFmtId="0" fontId="7" fillId="3" borderId="0" xfId="0" applyFont="1" applyFill="1" applyAlignment="1">
      <alignment/>
    </xf>
    <xf numFmtId="0" fontId="0" fillId="2" borderId="1" xfId="0" applyFill="1" applyBorder="1" applyAlignment="1">
      <alignment/>
    </xf>
    <xf numFmtId="164" fontId="6" fillId="0" borderId="2" xfId="0" applyNumberFormat="1" applyFont="1" applyFill="1" applyBorder="1" applyAlignment="1">
      <alignment/>
    </xf>
    <xf numFmtId="0" fontId="6" fillId="0" borderId="3" xfId="0" applyFont="1" applyBorder="1" applyAlignment="1">
      <alignment/>
    </xf>
    <xf numFmtId="1" fontId="6" fillId="0" borderId="2" xfId="0" applyNumberFormat="1" applyFont="1" applyBorder="1" applyAlignment="1">
      <alignment/>
    </xf>
    <xf numFmtId="0" fontId="0" fillId="0" borderId="3" xfId="0" applyFont="1" applyBorder="1" applyAlignment="1">
      <alignment/>
    </xf>
    <xf numFmtId="0" fontId="7" fillId="5" borderId="1" xfId="0" applyFont="1" applyFill="1" applyBorder="1" applyAlignment="1">
      <alignment/>
    </xf>
    <xf numFmtId="0" fontId="7" fillId="5" borderId="1" xfId="0" applyFont="1" applyFill="1" applyBorder="1" applyAlignment="1">
      <alignment horizontal="right"/>
    </xf>
    <xf numFmtId="0" fontId="1" fillId="5" borderId="1" xfId="0" applyFont="1" applyFill="1" applyBorder="1" applyAlignment="1">
      <alignment/>
    </xf>
    <xf numFmtId="0" fontId="7" fillId="6" borderId="4" xfId="0" applyFont="1" applyFill="1" applyBorder="1" applyAlignment="1">
      <alignment/>
    </xf>
    <xf numFmtId="0" fontId="7" fillId="6" borderId="5" xfId="0" applyFont="1" applyFill="1" applyBorder="1" applyAlignment="1">
      <alignment horizontal="right"/>
    </xf>
    <xf numFmtId="165" fontId="6" fillId="2" borderId="0" xfId="0" applyNumberFormat="1" applyFont="1" applyFill="1" applyAlignment="1">
      <alignment horizontal="left"/>
    </xf>
    <xf numFmtId="164" fontId="6" fillId="0" borderId="2" xfId="0" applyNumberFormat="1" applyFont="1" applyBorder="1" applyAlignment="1">
      <alignment/>
    </xf>
    <xf numFmtId="0" fontId="0" fillId="6" borderId="6" xfId="0" applyFill="1" applyBorder="1" applyAlignment="1">
      <alignment/>
    </xf>
    <xf numFmtId="0" fontId="7" fillId="3" borderId="7" xfId="0" applyFont="1" applyFill="1" applyBorder="1" applyAlignment="1">
      <alignment/>
    </xf>
    <xf numFmtId="0" fontId="7" fillId="3" borderId="7" xfId="0" applyFont="1" applyFill="1" applyBorder="1" applyAlignment="1">
      <alignment horizontal="center"/>
    </xf>
    <xf numFmtId="0" fontId="7" fillId="3" borderId="1" xfId="0" applyFont="1" applyFill="1" applyBorder="1" applyAlignment="1">
      <alignment/>
    </xf>
    <xf numFmtId="0" fontId="0" fillId="2" borderId="0" xfId="0" applyFont="1" applyFill="1" applyBorder="1" applyAlignment="1">
      <alignment/>
    </xf>
    <xf numFmtId="165" fontId="6" fillId="7" borderId="1" xfId="0" applyNumberFormat="1" applyFont="1" applyFill="1" applyBorder="1" applyAlignment="1">
      <alignment horizontal="left"/>
    </xf>
    <xf numFmtId="0" fontId="6" fillId="2" borderId="0" xfId="0" applyFont="1" applyFill="1" applyAlignment="1">
      <alignment/>
    </xf>
    <xf numFmtId="0" fontId="7" fillId="3" borderId="1" xfId="0" applyFont="1" applyFill="1" applyBorder="1" applyAlignment="1">
      <alignment horizontal="right"/>
    </xf>
    <xf numFmtId="0" fontId="0" fillId="6" borderId="1" xfId="0" applyFont="1" applyFill="1" applyBorder="1" applyAlignment="1">
      <alignment/>
    </xf>
    <xf numFmtId="0" fontId="0" fillId="6" borderId="8" xfId="0" applyFill="1" applyBorder="1" applyAlignment="1">
      <alignment/>
    </xf>
    <xf numFmtId="0" fontId="6" fillId="2" borderId="0" xfId="0" applyFont="1" applyFill="1" applyBorder="1" applyAlignment="1">
      <alignment/>
    </xf>
    <xf numFmtId="0" fontId="6" fillId="3" borderId="1" xfId="0" applyFont="1" applyFill="1" applyBorder="1" applyAlignment="1">
      <alignment/>
    </xf>
    <xf numFmtId="2" fontId="0" fillId="6" borderId="8" xfId="0" applyNumberFormat="1" applyFill="1" applyBorder="1" applyAlignment="1">
      <alignment/>
    </xf>
    <xf numFmtId="0" fontId="6" fillId="7" borderId="1" xfId="0" applyFont="1" applyFill="1" applyBorder="1" applyAlignment="1">
      <alignment/>
    </xf>
    <xf numFmtId="0" fontId="6" fillId="2" borderId="9" xfId="0" applyFont="1" applyFill="1" applyBorder="1" applyAlignment="1">
      <alignment/>
    </xf>
    <xf numFmtId="0" fontId="0" fillId="2" borderId="9" xfId="0" applyFill="1" applyBorder="1" applyAlignment="1">
      <alignment/>
    </xf>
    <xf numFmtId="0" fontId="0" fillId="2" borderId="0" xfId="0" applyFill="1" applyBorder="1" applyAlignment="1">
      <alignment/>
    </xf>
    <xf numFmtId="0" fontId="1" fillId="0" borderId="1" xfId="0" applyFont="1" applyBorder="1" applyAlignment="1">
      <alignment/>
    </xf>
    <xf numFmtId="0" fontId="6" fillId="0" borderId="1" xfId="0" applyFont="1" applyBorder="1" applyAlignment="1">
      <alignment horizontal="center"/>
    </xf>
    <xf numFmtId="165" fontId="0" fillId="8" borderId="1" xfId="0" applyNumberFormat="1" applyFill="1" applyBorder="1" applyAlignment="1">
      <alignment/>
    </xf>
    <xf numFmtId="0" fontId="6" fillId="2" borderId="1" xfId="0" applyFont="1" applyFill="1" applyBorder="1" applyAlignment="1">
      <alignment/>
    </xf>
    <xf numFmtId="2" fontId="6" fillId="2" borderId="1" xfId="0" applyNumberFormat="1" applyFont="1" applyFill="1" applyBorder="1" applyAlignment="1">
      <alignment/>
    </xf>
    <xf numFmtId="165" fontId="0" fillId="0" borderId="1" xfId="0" applyNumberFormat="1" applyBorder="1" applyAlignment="1">
      <alignment/>
    </xf>
    <xf numFmtId="0" fontId="0" fillId="2" borderId="1" xfId="0" applyFont="1" applyFill="1" applyBorder="1" applyAlignment="1">
      <alignment/>
    </xf>
    <xf numFmtId="0" fontId="6" fillId="3" borderId="0" xfId="0" applyFont="1" applyFill="1" applyBorder="1" applyAlignment="1">
      <alignment/>
    </xf>
    <xf numFmtId="0" fontId="0" fillId="3" borderId="0" xfId="0" applyFill="1" applyBorder="1" applyAlignment="1">
      <alignment/>
    </xf>
    <xf numFmtId="0" fontId="1" fillId="2" borderId="0" xfId="0" applyFont="1" applyFill="1" applyBorder="1" applyAlignment="1">
      <alignment horizontal="right"/>
    </xf>
    <xf numFmtId="0" fontId="0" fillId="2" borderId="8" xfId="0" applyFill="1" applyBorder="1" applyAlignment="1">
      <alignment/>
    </xf>
    <xf numFmtId="0" fontId="6" fillId="7" borderId="7" xfId="0" applyFont="1" applyFill="1" applyBorder="1" applyAlignment="1">
      <alignment/>
    </xf>
    <xf numFmtId="4" fontId="0" fillId="4" borderId="1" xfId="0" applyNumberFormat="1" applyFill="1" applyBorder="1" applyAlignment="1" applyProtection="1">
      <alignment/>
      <protection locked="0"/>
    </xf>
    <xf numFmtId="4" fontId="6" fillId="0" borderId="10" xfId="0" applyNumberFormat="1" applyFont="1" applyBorder="1" applyAlignment="1">
      <alignment/>
    </xf>
    <xf numFmtId="4" fontId="0" fillId="0" borderId="1" xfId="0" applyNumberFormat="1" applyBorder="1" applyAlignment="1">
      <alignment/>
    </xf>
    <xf numFmtId="0" fontId="6" fillId="0" borderId="0" xfId="0" applyFont="1" applyBorder="1" applyAlignment="1">
      <alignment horizontal="left"/>
    </xf>
    <xf numFmtId="4" fontId="0" fillId="0" borderId="0" xfId="0" applyNumberFormat="1" applyFill="1" applyAlignment="1">
      <alignment/>
    </xf>
    <xf numFmtId="0" fontId="6" fillId="0" borderId="0" xfId="0" applyFont="1" applyBorder="1" applyAlignment="1">
      <alignment horizontal="center"/>
    </xf>
    <xf numFmtId="0" fontId="0" fillId="0" borderId="0" xfId="0" applyBorder="1" applyAlignment="1">
      <alignment/>
    </xf>
    <xf numFmtId="165" fontId="6" fillId="0" borderId="1" xfId="0" applyNumberFormat="1" applyFont="1" applyBorder="1" applyAlignment="1">
      <alignment/>
    </xf>
    <xf numFmtId="0" fontId="6" fillId="0" borderId="0" xfId="0" applyFont="1" applyAlignment="1">
      <alignment/>
    </xf>
    <xf numFmtId="0" fontId="0" fillId="0" borderId="0" xfId="0" applyAlignment="1" applyProtection="1">
      <alignment/>
      <protection/>
    </xf>
    <xf numFmtId="0" fontId="0" fillId="2" borderId="0" xfId="0" applyFont="1" applyFill="1" applyAlignment="1" applyProtection="1">
      <alignment/>
      <protection/>
    </xf>
    <xf numFmtId="0" fontId="1" fillId="0" borderId="0" xfId="0" applyFont="1" applyAlignment="1" applyProtection="1">
      <alignment horizontal="right"/>
      <protection/>
    </xf>
    <xf numFmtId="0" fontId="2" fillId="3" borderId="0" xfId="0" applyFont="1" applyFill="1" applyAlignment="1" applyProtection="1">
      <alignment/>
      <protection/>
    </xf>
    <xf numFmtId="0" fontId="0" fillId="3" borderId="0" xfId="0" applyFill="1" applyAlignment="1" applyProtection="1">
      <alignment/>
      <protection/>
    </xf>
    <xf numFmtId="0" fontId="2" fillId="2" borderId="0" xfId="0" applyFont="1" applyFill="1" applyAlignment="1" applyProtection="1">
      <alignment/>
      <protection/>
    </xf>
    <xf numFmtId="0" fontId="1" fillId="2" borderId="0" xfId="0" applyFont="1" applyFill="1" applyAlignment="1" applyProtection="1">
      <alignment horizontal="right"/>
      <protection/>
    </xf>
    <xf numFmtId="0" fontId="3" fillId="0" borderId="0" xfId="0" applyFont="1" applyAlignment="1" applyProtection="1">
      <alignment/>
      <protection/>
    </xf>
    <xf numFmtId="0" fontId="3" fillId="3" borderId="0" xfId="0" applyFont="1" applyFill="1" applyAlignment="1" applyProtection="1">
      <alignment/>
      <protection/>
    </xf>
    <xf numFmtId="0" fontId="3" fillId="2" borderId="0" xfId="0" applyFont="1" applyFill="1" applyAlignment="1" applyProtection="1">
      <alignment/>
      <protection/>
    </xf>
    <xf numFmtId="0" fontId="3" fillId="2" borderId="0" xfId="0" applyFont="1" applyFill="1" applyAlignment="1" applyProtection="1">
      <alignment horizontal="right"/>
      <protection/>
    </xf>
    <xf numFmtId="0" fontId="1" fillId="2" borderId="0" xfId="0" applyFont="1" applyFill="1" applyAlignment="1" applyProtection="1">
      <alignment/>
      <protection/>
    </xf>
    <xf numFmtId="0" fontId="1" fillId="0" borderId="0" xfId="0" applyFont="1" applyAlignment="1" applyProtection="1">
      <alignment/>
      <protection/>
    </xf>
    <xf numFmtId="0" fontId="6" fillId="3" borderId="0" xfId="0" applyFont="1" applyFill="1" applyAlignment="1" applyProtection="1">
      <alignment/>
      <protection/>
    </xf>
    <xf numFmtId="14" fontId="0" fillId="2" borderId="0" xfId="0" applyNumberFormat="1" applyFont="1" applyFill="1" applyAlignment="1" applyProtection="1">
      <alignment/>
      <protection/>
    </xf>
    <xf numFmtId="0" fontId="0" fillId="0" borderId="1" xfId="0" applyFont="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2" borderId="0" xfId="0" applyNumberFormat="1" applyFont="1" applyFill="1" applyAlignment="1" applyProtection="1">
      <alignment/>
      <protection/>
    </xf>
    <xf numFmtId="2" fontId="0" fillId="2" borderId="0" xfId="0" applyNumberFormat="1" applyFill="1" applyAlignment="1" applyProtection="1">
      <alignment/>
      <protection/>
    </xf>
    <xf numFmtId="0" fontId="6" fillId="0" borderId="0" xfId="0" applyNumberFormat="1" applyFont="1" applyFill="1" applyBorder="1" applyAlignment="1" applyProtection="1">
      <alignment/>
      <protection locked="0"/>
    </xf>
    <xf numFmtId="0" fontId="0" fillId="0" borderId="0" xfId="0" applyFont="1" applyFill="1" applyBorder="1" applyAlignment="1" applyProtection="1">
      <alignment/>
      <protection/>
    </xf>
    <xf numFmtId="0" fontId="0" fillId="2" borderId="0" xfId="0" applyFont="1" applyFill="1" applyAlignment="1" applyProtection="1">
      <alignment horizontal="right"/>
      <protection/>
    </xf>
    <xf numFmtId="0" fontId="2" fillId="4" borderId="1" xfId="0" applyFont="1" applyFill="1" applyBorder="1" applyAlignment="1" applyProtection="1">
      <alignment horizontal="center"/>
      <protection locked="0"/>
    </xf>
    <xf numFmtId="0" fontId="7" fillId="3" borderId="0" xfId="0" applyFont="1" applyFill="1" applyAlignment="1" applyProtection="1">
      <alignment horizontal="right"/>
      <protection/>
    </xf>
    <xf numFmtId="0" fontId="7" fillId="3" borderId="0" xfId="0" applyFont="1" applyFill="1" applyAlignment="1" applyProtection="1">
      <alignment/>
      <protection/>
    </xf>
    <xf numFmtId="0" fontId="0" fillId="2" borderId="1" xfId="0" applyFill="1" applyBorder="1" applyAlignment="1" applyProtection="1">
      <alignment/>
      <protection/>
    </xf>
    <xf numFmtId="164" fontId="6" fillId="0" borderId="2" xfId="0" applyNumberFormat="1" applyFont="1" applyFill="1" applyBorder="1" applyAlignment="1" applyProtection="1">
      <alignment/>
      <protection/>
    </xf>
    <xf numFmtId="0" fontId="6" fillId="0" borderId="3" xfId="0" applyFont="1" applyBorder="1" applyAlignment="1" applyProtection="1">
      <alignment/>
      <protection/>
    </xf>
    <xf numFmtId="1" fontId="6" fillId="0" borderId="2" xfId="0" applyNumberFormat="1" applyFont="1" applyBorder="1" applyAlignment="1" applyProtection="1">
      <alignment/>
      <protection/>
    </xf>
    <xf numFmtId="0" fontId="0" fillId="0" borderId="3" xfId="0" applyFont="1" applyBorder="1" applyAlignment="1" applyProtection="1">
      <alignment/>
      <protection/>
    </xf>
    <xf numFmtId="0" fontId="7" fillId="5" borderId="1" xfId="0" applyFont="1" applyFill="1" applyBorder="1" applyAlignment="1" applyProtection="1">
      <alignment/>
      <protection/>
    </xf>
    <xf numFmtId="0" fontId="7" fillId="5" borderId="1" xfId="0" applyFont="1" applyFill="1" applyBorder="1" applyAlignment="1" applyProtection="1">
      <alignment horizontal="right"/>
      <protection/>
    </xf>
    <xf numFmtId="0" fontId="1" fillId="5" borderId="1" xfId="0" applyFont="1" applyFill="1" applyBorder="1" applyAlignment="1" applyProtection="1">
      <alignment/>
      <protection/>
    </xf>
    <xf numFmtId="0" fontId="7" fillId="6" borderId="4" xfId="0" applyFont="1" applyFill="1" applyBorder="1" applyAlignment="1" applyProtection="1">
      <alignment/>
      <protection/>
    </xf>
    <xf numFmtId="0" fontId="7" fillId="6" borderId="5" xfId="0" applyFont="1" applyFill="1" applyBorder="1" applyAlignment="1" applyProtection="1">
      <alignment horizontal="right"/>
      <protection/>
    </xf>
    <xf numFmtId="165" fontId="6" fillId="2" borderId="0" xfId="0" applyNumberFormat="1" applyFont="1" applyFill="1" applyAlignment="1" applyProtection="1">
      <alignment horizontal="left"/>
      <protection/>
    </xf>
    <xf numFmtId="164" fontId="6" fillId="0" borderId="2" xfId="0" applyNumberFormat="1" applyFont="1" applyBorder="1" applyAlignment="1" applyProtection="1">
      <alignment/>
      <protection/>
    </xf>
    <xf numFmtId="0" fontId="0" fillId="6" borderId="6" xfId="0" applyFill="1" applyBorder="1" applyAlignment="1" applyProtection="1">
      <alignment/>
      <protection/>
    </xf>
    <xf numFmtId="0" fontId="7" fillId="3" borderId="7" xfId="0" applyFont="1" applyFill="1" applyBorder="1" applyAlignment="1" applyProtection="1">
      <alignment/>
      <protection/>
    </xf>
    <xf numFmtId="0" fontId="7" fillId="3" borderId="1" xfId="0" applyFont="1" applyFill="1" applyBorder="1" applyAlignment="1" applyProtection="1">
      <alignment horizontal="center"/>
      <protection/>
    </xf>
    <xf numFmtId="0" fontId="7" fillId="3" borderId="1" xfId="0" applyFont="1" applyFill="1" applyBorder="1" applyAlignment="1" applyProtection="1">
      <alignment/>
      <protection/>
    </xf>
    <xf numFmtId="0" fontId="0" fillId="3" borderId="0" xfId="0" applyFill="1" applyBorder="1" applyAlignment="1" applyProtection="1">
      <alignment/>
      <protection/>
    </xf>
    <xf numFmtId="0" fontId="0" fillId="2" borderId="0" xfId="0" applyFont="1" applyFill="1" applyBorder="1" applyAlignment="1" applyProtection="1">
      <alignment/>
      <protection/>
    </xf>
    <xf numFmtId="165" fontId="6" fillId="7" borderId="1" xfId="0" applyNumberFormat="1" applyFont="1" applyFill="1" applyBorder="1" applyAlignment="1" applyProtection="1">
      <alignment horizontal="left"/>
      <protection/>
    </xf>
    <xf numFmtId="0" fontId="6" fillId="2" borderId="0" xfId="0" applyFont="1" applyFill="1" applyAlignment="1" applyProtection="1">
      <alignment/>
      <protection/>
    </xf>
    <xf numFmtId="0" fontId="7" fillId="3" borderId="1" xfId="0" applyFont="1" applyFill="1" applyBorder="1" applyAlignment="1" applyProtection="1">
      <alignment horizontal="right"/>
      <protection/>
    </xf>
    <xf numFmtId="0" fontId="0" fillId="6" borderId="1" xfId="0" applyFont="1" applyFill="1" applyBorder="1" applyAlignment="1" applyProtection="1">
      <alignment/>
      <protection/>
    </xf>
    <xf numFmtId="0" fontId="1" fillId="6" borderId="1" xfId="0" applyFont="1" applyFill="1" applyBorder="1" applyAlignment="1" applyProtection="1">
      <alignment/>
      <protection/>
    </xf>
    <xf numFmtId="0" fontId="0" fillId="3" borderId="11" xfId="0" applyFill="1" applyBorder="1" applyAlignment="1" applyProtection="1">
      <alignment/>
      <protection/>
    </xf>
    <xf numFmtId="0" fontId="6" fillId="2" borderId="0" xfId="0" applyFont="1" applyFill="1" applyBorder="1" applyAlignment="1" applyProtection="1">
      <alignment/>
      <protection/>
    </xf>
    <xf numFmtId="0" fontId="6" fillId="3" borderId="1" xfId="0" applyFont="1" applyFill="1" applyBorder="1" applyAlignment="1" applyProtection="1">
      <alignment/>
      <protection/>
    </xf>
    <xf numFmtId="0" fontId="0" fillId="6" borderId="12" xfId="0" applyFill="1" applyBorder="1" applyAlignment="1" applyProtection="1">
      <alignment/>
      <protection/>
    </xf>
    <xf numFmtId="0" fontId="0" fillId="6" borderId="13" xfId="0" applyFill="1" applyBorder="1" applyAlignment="1" applyProtection="1">
      <alignment/>
      <protection/>
    </xf>
    <xf numFmtId="0" fontId="0" fillId="6" borderId="14" xfId="0" applyFont="1" applyFill="1" applyBorder="1" applyAlignment="1" applyProtection="1">
      <alignment/>
      <protection/>
    </xf>
    <xf numFmtId="0" fontId="6" fillId="7" borderId="1" xfId="0" applyFont="1" applyFill="1" applyBorder="1" applyAlignment="1" applyProtection="1">
      <alignment/>
      <protection/>
    </xf>
    <xf numFmtId="0" fontId="0" fillId="6" borderId="15" xfId="0" applyFill="1" applyBorder="1" applyAlignment="1" applyProtection="1">
      <alignment/>
      <protection/>
    </xf>
    <xf numFmtId="0" fontId="0" fillId="6" borderId="8" xfId="0" applyFill="1" applyBorder="1" applyAlignment="1" applyProtection="1">
      <alignment/>
      <protection/>
    </xf>
    <xf numFmtId="0" fontId="0" fillId="6" borderId="16" xfId="0" applyFill="1" applyBorder="1" applyAlignment="1" applyProtection="1">
      <alignment/>
      <protection/>
    </xf>
    <xf numFmtId="0" fontId="6" fillId="2" borderId="9" xfId="0" applyFont="1" applyFill="1" applyBorder="1" applyAlignment="1" applyProtection="1">
      <alignment/>
      <protection/>
    </xf>
    <xf numFmtId="0" fontId="0" fillId="2" borderId="9" xfId="0" applyFill="1" applyBorder="1" applyAlignment="1" applyProtection="1">
      <alignment/>
      <protection/>
    </xf>
    <xf numFmtId="0" fontId="0" fillId="2" borderId="0" xfId="0" applyFill="1" applyBorder="1" applyAlignment="1" applyProtection="1">
      <alignment/>
      <protection/>
    </xf>
    <xf numFmtId="0" fontId="1" fillId="0" borderId="1" xfId="0" applyFont="1" applyBorder="1" applyAlignment="1" applyProtection="1">
      <alignment/>
      <protection/>
    </xf>
    <xf numFmtId="0" fontId="6" fillId="0" borderId="1" xfId="0" applyFont="1" applyBorder="1" applyAlignment="1" applyProtection="1">
      <alignment horizontal="center"/>
      <protection/>
    </xf>
    <xf numFmtId="165" fontId="0" fillId="8" borderId="1" xfId="0" applyNumberFormat="1" applyFill="1" applyBorder="1" applyAlignment="1" applyProtection="1">
      <alignment/>
      <protection/>
    </xf>
    <xf numFmtId="0" fontId="0" fillId="3" borderId="17" xfId="0" applyFill="1" applyBorder="1" applyAlignment="1" applyProtection="1">
      <alignment/>
      <protection/>
    </xf>
    <xf numFmtId="165" fontId="0" fillId="0" borderId="1" xfId="0" applyNumberFormat="1" applyBorder="1" applyAlignment="1" applyProtection="1">
      <alignment/>
      <protection/>
    </xf>
    <xf numFmtId="0" fontId="6" fillId="2" borderId="1" xfId="0" applyFont="1" applyFill="1" applyBorder="1" applyAlignment="1" applyProtection="1">
      <alignment/>
      <protection/>
    </xf>
    <xf numFmtId="0" fontId="10" fillId="3" borderId="1" xfId="0" applyFont="1" applyFill="1" applyBorder="1" applyAlignment="1" applyProtection="1">
      <alignment/>
      <protection/>
    </xf>
    <xf numFmtId="0" fontId="0" fillId="6" borderId="18" xfId="0" applyFill="1" applyBorder="1" applyAlignment="1" applyProtection="1">
      <alignment/>
      <protection/>
    </xf>
    <xf numFmtId="0" fontId="0" fillId="6" borderId="19" xfId="0" applyFill="1" applyBorder="1" applyAlignment="1" applyProtection="1">
      <alignment/>
      <protection/>
    </xf>
    <xf numFmtId="0" fontId="0" fillId="6" borderId="20" xfId="0" applyFill="1" applyBorder="1" applyAlignment="1" applyProtection="1">
      <alignment/>
      <protection/>
    </xf>
    <xf numFmtId="0" fontId="0" fillId="2" borderId="1" xfId="0" applyFont="1" applyFill="1" applyBorder="1" applyAlignment="1" applyProtection="1">
      <alignment/>
      <protection/>
    </xf>
    <xf numFmtId="0" fontId="6" fillId="3" borderId="0" xfId="0" applyFont="1" applyFill="1" applyBorder="1" applyAlignment="1" applyProtection="1">
      <alignment/>
      <protection/>
    </xf>
    <xf numFmtId="0" fontId="1" fillId="2" borderId="0" xfId="0" applyFont="1" applyFill="1" applyBorder="1" applyAlignment="1" applyProtection="1">
      <alignment horizontal="right"/>
      <protection/>
    </xf>
    <xf numFmtId="0" fontId="0" fillId="2" borderId="8" xfId="0" applyFill="1" applyBorder="1" applyAlignment="1" applyProtection="1">
      <alignment/>
      <protection/>
    </xf>
    <xf numFmtId="0" fontId="0" fillId="0" borderId="1" xfId="0" applyBorder="1" applyAlignment="1" applyProtection="1">
      <alignment/>
      <protection/>
    </xf>
    <xf numFmtId="0" fontId="6" fillId="0" borderId="21" xfId="0" applyFont="1" applyBorder="1" applyAlignment="1" applyProtection="1">
      <alignment horizontal="center"/>
      <protection/>
    </xf>
    <xf numFmtId="165" fontId="0" fillId="0" borderId="1" xfId="0" applyNumberFormat="1" applyFont="1" applyBorder="1" applyAlignment="1" applyProtection="1">
      <alignment/>
      <protection/>
    </xf>
    <xf numFmtId="165" fontId="6" fillId="0" borderId="1" xfId="0" applyNumberFormat="1" applyFont="1" applyBorder="1" applyAlignment="1" applyProtection="1">
      <alignment/>
      <protection/>
    </xf>
    <xf numFmtId="0" fontId="6" fillId="7" borderId="7" xfId="0" applyFont="1" applyFill="1" applyBorder="1" applyAlignment="1" applyProtection="1">
      <alignment horizontal="center"/>
      <protection/>
    </xf>
    <xf numFmtId="0" fontId="6" fillId="7" borderId="7" xfId="0" applyFont="1" applyFill="1" applyBorder="1" applyAlignment="1" applyProtection="1">
      <alignment/>
      <protection/>
    </xf>
    <xf numFmtId="0" fontId="0" fillId="0" borderId="0" xfId="0" applyFill="1" applyAlignment="1" applyProtection="1">
      <alignment/>
      <protection/>
    </xf>
    <xf numFmtId="4" fontId="6" fillId="0" borderId="10" xfId="0" applyNumberFormat="1" applyFont="1" applyBorder="1" applyAlignment="1" applyProtection="1">
      <alignment/>
      <protection/>
    </xf>
    <xf numFmtId="4" fontId="0" fillId="0" borderId="1" xfId="0" applyNumberFormat="1" applyBorder="1" applyAlignment="1" applyProtection="1">
      <alignment/>
      <protection/>
    </xf>
    <xf numFmtId="0" fontId="6" fillId="0" borderId="0" xfId="0" applyFont="1" applyBorder="1" applyAlignment="1" applyProtection="1">
      <alignment horizontal="left"/>
      <protection/>
    </xf>
    <xf numFmtId="4" fontId="0" fillId="0" borderId="0" xfId="0" applyNumberFormat="1" applyFill="1" applyAlignment="1" applyProtection="1">
      <alignment/>
      <protection/>
    </xf>
    <xf numFmtId="0" fontId="6" fillId="0" borderId="0" xfId="0" applyFont="1" applyBorder="1" applyAlignment="1" applyProtection="1">
      <alignment horizontal="center"/>
      <protection/>
    </xf>
    <xf numFmtId="0" fontId="6" fillId="9" borderId="2" xfId="0" applyFont="1" applyFill="1" applyBorder="1" applyAlignment="1" applyProtection="1">
      <alignment/>
      <protection/>
    </xf>
    <xf numFmtId="0" fontId="6" fillId="0" borderId="1" xfId="0" applyFont="1" applyFill="1" applyBorder="1" applyAlignment="1" applyProtection="1">
      <alignment horizontal="center"/>
      <protection/>
    </xf>
    <xf numFmtId="0" fontId="10" fillId="7" borderId="10" xfId="0" applyFont="1" applyFill="1" applyBorder="1" applyAlignment="1" applyProtection="1">
      <alignment/>
      <protection/>
    </xf>
    <xf numFmtId="165" fontId="6" fillId="0" borderId="10" xfId="0" applyNumberFormat="1" applyFont="1" applyBorder="1" applyAlignment="1" applyProtection="1">
      <alignment/>
      <protection/>
    </xf>
    <xf numFmtId="0" fontId="10" fillId="0" borderId="0" xfId="0" applyFont="1" applyFill="1" applyBorder="1" applyAlignment="1" applyProtection="1">
      <alignment/>
      <protection/>
    </xf>
    <xf numFmtId="165" fontId="6" fillId="0" borderId="0" xfId="0" applyNumberFormat="1" applyFont="1" applyBorder="1" applyAlignment="1" applyProtection="1">
      <alignment/>
      <protection/>
    </xf>
    <xf numFmtId="0" fontId="6" fillId="0" borderId="0" xfId="0" applyFont="1" applyBorder="1" applyAlignment="1" applyProtection="1">
      <alignment/>
      <protection/>
    </xf>
    <xf numFmtId="0" fontId="11" fillId="0" borderId="0" xfId="0" applyFont="1" applyBorder="1" applyAlignment="1" applyProtection="1">
      <alignment/>
      <protection/>
    </xf>
    <xf numFmtId="0" fontId="1" fillId="6" borderId="1" xfId="0" applyFont="1" applyFill="1" applyBorder="1" applyAlignment="1">
      <alignment/>
    </xf>
    <xf numFmtId="0" fontId="10" fillId="3" borderId="1" xfId="0" applyFont="1" applyFill="1" applyBorder="1" applyAlignment="1">
      <alignment/>
    </xf>
    <xf numFmtId="0" fontId="0" fillId="0" borderId="0" xfId="0" applyFont="1" applyBorder="1" applyAlignment="1">
      <alignment/>
    </xf>
    <xf numFmtId="0" fontId="6" fillId="0" borderId="0" xfId="0" applyNumberFormat="1" applyFont="1" applyFill="1" applyBorder="1" applyAlignment="1">
      <alignment/>
    </xf>
    <xf numFmtId="0" fontId="6" fillId="0" borderId="1" xfId="0" applyFont="1" applyBorder="1" applyAlignment="1">
      <alignment/>
    </xf>
    <xf numFmtId="0" fontId="0" fillId="6" borderId="12" xfId="0" applyFill="1" applyBorder="1" applyAlignment="1">
      <alignment/>
    </xf>
    <xf numFmtId="0" fontId="0" fillId="6" borderId="13" xfId="0" applyFill="1" applyBorder="1" applyAlignment="1">
      <alignment/>
    </xf>
    <xf numFmtId="0" fontId="0" fillId="6" borderId="15" xfId="0" applyFill="1" applyBorder="1" applyAlignment="1">
      <alignment/>
    </xf>
    <xf numFmtId="0" fontId="0" fillId="6" borderId="18" xfId="0" applyFill="1" applyBorder="1" applyAlignment="1">
      <alignment/>
    </xf>
    <xf numFmtId="0" fontId="0" fillId="6" borderId="19" xfId="0" applyFill="1" applyBorder="1" applyAlignment="1">
      <alignment/>
    </xf>
    <xf numFmtId="0" fontId="0" fillId="0" borderId="1" xfId="0" applyBorder="1" applyAlignment="1">
      <alignment/>
    </xf>
    <xf numFmtId="0" fontId="6" fillId="0" borderId="21" xfId="0" applyFont="1" applyBorder="1" applyAlignment="1">
      <alignment horizontal="center"/>
    </xf>
    <xf numFmtId="165" fontId="0" fillId="0" borderId="1" xfId="0" applyNumberFormat="1" applyFont="1" applyBorder="1" applyAlignment="1">
      <alignment/>
    </xf>
    <xf numFmtId="0" fontId="6" fillId="7" borderId="7" xfId="0" applyFont="1" applyFill="1" applyBorder="1" applyAlignment="1">
      <alignment horizontal="center"/>
    </xf>
    <xf numFmtId="0" fontId="10" fillId="0" borderId="0" xfId="0" applyFont="1" applyFill="1" applyBorder="1" applyAlignment="1">
      <alignment/>
    </xf>
    <xf numFmtId="0" fontId="6" fillId="0" borderId="0" xfId="0" applyFont="1" applyBorder="1" applyAlignment="1">
      <alignment/>
    </xf>
    <xf numFmtId="0" fontId="11" fillId="0" borderId="0" xfId="0" applyFont="1" applyBorder="1" applyAlignment="1">
      <alignment/>
    </xf>
    <xf numFmtId="0" fontId="0" fillId="6" borderId="16" xfId="0" applyFill="1" applyBorder="1" applyAlignment="1">
      <alignment/>
    </xf>
    <xf numFmtId="0" fontId="0" fillId="6" borderId="20" xfId="0" applyFill="1" applyBorder="1" applyAlignment="1">
      <alignment/>
    </xf>
    <xf numFmtId="0" fontId="0" fillId="3" borderId="11" xfId="0" applyFill="1" applyBorder="1" applyAlignment="1">
      <alignment/>
    </xf>
    <xf numFmtId="0" fontId="0" fillId="3" borderId="17" xfId="0" applyFill="1" applyBorder="1" applyAlignment="1">
      <alignment/>
    </xf>
    <xf numFmtId="2" fontId="1" fillId="5" borderId="1" xfId="0" applyNumberFormat="1" applyFont="1" applyFill="1" applyBorder="1" applyAlignment="1">
      <alignment/>
    </xf>
    <xf numFmtId="2" fontId="0" fillId="6" borderId="13" xfId="0" applyNumberFormat="1" applyFill="1" applyBorder="1" applyAlignment="1">
      <alignment/>
    </xf>
    <xf numFmtId="0" fontId="0" fillId="6" borderId="14" xfId="0" applyFont="1" applyFill="1" applyBorder="1" applyAlignment="1">
      <alignment/>
    </xf>
    <xf numFmtId="2" fontId="12" fillId="0" borderId="1" xfId="0" applyNumberFormat="1" applyFont="1" applyBorder="1" applyAlignment="1">
      <alignment/>
    </xf>
    <xf numFmtId="2" fontId="0" fillId="6" borderId="19" xfId="0" applyNumberFormat="1" applyFill="1" applyBorder="1" applyAlignment="1">
      <alignment/>
    </xf>
    <xf numFmtId="2" fontId="0" fillId="2" borderId="1" xfId="0" applyNumberFormat="1" applyFill="1" applyBorder="1" applyAlignment="1">
      <alignment/>
    </xf>
    <xf numFmtId="0" fontId="0" fillId="0" borderId="0" xfId="0" applyFill="1" applyBorder="1" applyAlignment="1">
      <alignment horizontal="center"/>
    </xf>
    <xf numFmtId="165" fontId="6" fillId="0" borderId="9" xfId="0" applyNumberFormat="1" applyFont="1" applyBorder="1" applyAlignment="1">
      <alignment/>
    </xf>
    <xf numFmtId="0" fontId="6" fillId="5" borderId="1" xfId="0" applyFont="1" applyFill="1" applyBorder="1" applyAlignment="1">
      <alignment/>
    </xf>
    <xf numFmtId="0" fontId="0" fillId="10" borderId="0" xfId="0" applyFill="1" applyAlignment="1">
      <alignment/>
    </xf>
    <xf numFmtId="0" fontId="0" fillId="10" borderId="0" xfId="0" applyFill="1" applyAlignment="1" applyProtection="1">
      <alignment/>
      <protection/>
    </xf>
    <xf numFmtId="0" fontId="3" fillId="10" borderId="0" xfId="0" applyFont="1" applyFill="1" applyAlignment="1" applyProtection="1">
      <alignment/>
      <protection/>
    </xf>
    <xf numFmtId="0" fontId="0" fillId="0" borderId="0" xfId="0" applyAlignment="1">
      <alignment/>
    </xf>
    <xf numFmtId="0" fontId="9" fillId="0" borderId="0" xfId="0" applyFont="1" applyAlignment="1" applyProtection="1">
      <alignment/>
      <protection/>
    </xf>
    <xf numFmtId="0" fontId="0" fillId="0" borderId="0" xfId="0" applyAlignment="1" applyProtection="1">
      <alignment/>
      <protection/>
    </xf>
    <xf numFmtId="4" fontId="0" fillId="0" borderId="1" xfId="0" applyNumberFormat="1" applyFill="1" applyBorder="1" applyAlignment="1" applyProtection="1">
      <alignment/>
      <protection locked="0"/>
    </xf>
    <xf numFmtId="0" fontId="13" fillId="0" borderId="0" xfId="0" applyFont="1" applyAlignment="1">
      <alignment horizontal="center"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7" borderId="1" xfId="0" applyFont="1" applyFill="1" applyBorder="1" applyAlignment="1">
      <alignment horizontal="center"/>
    </xf>
    <xf numFmtId="4" fontId="2" fillId="0" borderId="1" xfId="0" applyNumberFormat="1" applyFont="1" applyBorder="1" applyAlignment="1">
      <alignment horizontal="center"/>
    </xf>
    <xf numFmtId="0" fontId="6" fillId="9" borderId="21" xfId="0" applyFont="1" applyFill="1" applyBorder="1" applyAlignment="1">
      <alignment horizontal="center"/>
    </xf>
    <xf numFmtId="0" fontId="0" fillId="3" borderId="0" xfId="0" applyFont="1" applyFill="1" applyBorder="1" applyAlignment="1">
      <alignment/>
    </xf>
    <xf numFmtId="2" fontId="8" fillId="0" borderId="1" xfId="0" applyNumberFormat="1" applyFont="1" applyBorder="1" applyAlignment="1">
      <alignment horizontal="center"/>
    </xf>
    <xf numFmtId="0" fontId="6" fillId="0" borderId="0" xfId="0" applyFont="1" applyFill="1" applyBorder="1" applyAlignment="1">
      <alignment horizontal="center"/>
    </xf>
    <xf numFmtId="0" fontId="6" fillId="11" borderId="0" xfId="0" applyFont="1" applyFill="1" applyAlignment="1">
      <alignment horizontal="center" vertical="center" wrapText="1"/>
    </xf>
    <xf numFmtId="0" fontId="6" fillId="5" borderId="1" xfId="0" applyFont="1" applyFill="1" applyBorder="1" applyAlignment="1">
      <alignment horizontal="center"/>
    </xf>
    <xf numFmtId="0" fontId="6" fillId="2" borderId="1" xfId="0" applyFont="1" applyFill="1" applyBorder="1" applyAlignment="1">
      <alignment/>
    </xf>
    <xf numFmtId="0" fontId="4" fillId="0" borderId="0" xfId="0" applyFont="1" applyBorder="1" applyAlignment="1">
      <alignment horizontal="center"/>
    </xf>
    <xf numFmtId="0" fontId="2" fillId="0" borderId="0" xfId="0" applyFont="1" applyFill="1" applyBorder="1" applyAlignment="1">
      <alignment horizontal="center"/>
    </xf>
    <xf numFmtId="0" fontId="14" fillId="10" borderId="0" xfId="0" applyFont="1" applyFill="1" applyAlignment="1">
      <alignment horizontal="center" vertical="center"/>
    </xf>
    <xf numFmtId="0" fontId="2" fillId="10" borderId="0" xfId="0" applyFont="1" applyFill="1" applyAlignment="1">
      <alignment horizontal="center" vertical="center" wrapText="1"/>
    </xf>
    <xf numFmtId="0" fontId="6" fillId="5" borderId="1" xfId="0" applyFont="1" applyFill="1" applyBorder="1" applyAlignment="1" applyProtection="1">
      <alignment horizontal="center"/>
      <protection/>
    </xf>
    <xf numFmtId="0" fontId="6" fillId="2" borderId="1" xfId="0" applyFont="1" applyFill="1" applyBorder="1" applyAlignment="1" applyProtection="1">
      <alignment/>
      <protection/>
    </xf>
    <xf numFmtId="0" fontId="6" fillId="7" borderId="1" xfId="0" applyFont="1" applyFill="1" applyBorder="1" applyAlignment="1" applyProtection="1">
      <alignment horizontal="center"/>
      <protection/>
    </xf>
    <xf numFmtId="0" fontId="4"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14" fillId="10" borderId="0" xfId="0" applyFont="1" applyFill="1" applyAlignment="1" applyProtection="1">
      <alignment horizontal="center" vertical="center"/>
      <protection/>
    </xf>
    <xf numFmtId="0" fontId="0" fillId="3" borderId="0" xfId="0" applyFont="1" applyFill="1" applyBorder="1" applyAlignment="1" applyProtection="1">
      <alignment/>
      <protection/>
    </xf>
    <xf numFmtId="2" fontId="8" fillId="0" borderId="1" xfId="0" applyNumberFormat="1" applyFont="1" applyBorder="1" applyAlignment="1" applyProtection="1">
      <alignment horizontal="center"/>
      <protection/>
    </xf>
    <xf numFmtId="0" fontId="6" fillId="11" borderId="0" xfId="0" applyFont="1" applyFill="1" applyAlignment="1" applyProtection="1">
      <alignment horizontal="center" vertical="center" wrapText="1"/>
      <protection/>
    </xf>
    <xf numFmtId="0" fontId="15" fillId="0" borderId="0" xfId="0" applyFont="1" applyAlignment="1" applyProtection="1">
      <alignment horizontal="center" vertical="center" wrapText="1"/>
      <protection/>
    </xf>
    <xf numFmtId="4" fontId="2" fillId="0" borderId="1" xfId="0" applyNumberFormat="1" applyFont="1" applyBorder="1" applyAlignment="1" applyProtection="1">
      <alignment horizontal="center"/>
      <protection/>
    </xf>
    <xf numFmtId="0" fontId="6" fillId="9" borderId="21" xfId="0" applyFont="1" applyFill="1" applyBorder="1" applyAlignment="1" applyProtection="1">
      <alignment horizontal="center"/>
      <protection/>
    </xf>
    <xf numFmtId="14" fontId="6" fillId="0" borderId="1" xfId="0" applyNumberFormat="1" applyFont="1" applyFill="1" applyBorder="1" applyAlignment="1" applyProtection="1">
      <alignment/>
      <protection locked="0"/>
    </xf>
    <xf numFmtId="0" fontId="6" fillId="0" borderId="0" xfId="0" applyFont="1" applyFill="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b/>
        <i val="0"/>
        <color rgb="FFFFFF00"/>
      </font>
      <fill>
        <patternFill patternType="solid">
          <fgColor rgb="FF800080"/>
          <bgColor rgb="FF800080"/>
        </patternFill>
      </fill>
      <border/>
    </dxf>
    <dxf>
      <font>
        <b/>
        <i val="0"/>
        <color rgb="FF969696"/>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6633"/>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1047750</xdr:colOff>
      <xdr:row>27</xdr:row>
      <xdr:rowOff>104775</xdr:rowOff>
    </xdr:from>
    <xdr:to>
      <xdr:col>3</xdr:col>
      <xdr:colOff>2209800</xdr:colOff>
      <xdr:row>34</xdr:row>
      <xdr:rowOff>133350</xdr:rowOff>
    </xdr:to>
    <xdr:pic>
      <xdr:nvPicPr>
        <xdr:cNvPr id="1" name="Picture 5"/>
        <xdr:cNvPicPr preferRelativeResize="1">
          <a:picLocks noChangeAspect="1"/>
        </xdr:cNvPicPr>
      </xdr:nvPicPr>
      <xdr:blipFill>
        <a:blip r:embed="rId1"/>
        <a:stretch>
          <a:fillRect/>
        </a:stretch>
      </xdr:blipFill>
      <xdr:spPr>
        <a:xfrm>
          <a:off x="3238500" y="4581525"/>
          <a:ext cx="1162050" cy="1162050"/>
        </a:xfrm>
        <a:prstGeom prst="rect">
          <a:avLst/>
        </a:prstGeom>
        <a:noFill/>
        <a:ln w="9525" cmpd="sng">
          <a:noFill/>
        </a:ln>
      </xdr:spPr>
    </xdr:pic>
    <xdr:clientData/>
  </xdr:twoCellAnchor>
  <xdr:twoCellAnchor editAs="oneCell">
    <xdr:from>
      <xdr:col>10</xdr:col>
      <xdr:colOff>161925</xdr:colOff>
      <xdr:row>1</xdr:row>
      <xdr:rowOff>114300</xdr:rowOff>
    </xdr:from>
    <xdr:to>
      <xdr:col>10</xdr:col>
      <xdr:colOff>1323975</xdr:colOff>
      <xdr:row>8</xdr:row>
      <xdr:rowOff>57150</xdr:rowOff>
    </xdr:to>
    <xdr:pic>
      <xdr:nvPicPr>
        <xdr:cNvPr id="2" name="Picture 6"/>
        <xdr:cNvPicPr preferRelativeResize="1">
          <a:picLocks noChangeAspect="1"/>
        </xdr:cNvPicPr>
      </xdr:nvPicPr>
      <xdr:blipFill>
        <a:blip r:embed="rId1"/>
        <a:stretch>
          <a:fillRect/>
        </a:stretch>
      </xdr:blipFill>
      <xdr:spPr>
        <a:xfrm>
          <a:off x="7496175" y="276225"/>
          <a:ext cx="116205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914400</xdr:colOff>
      <xdr:row>26</xdr:row>
      <xdr:rowOff>114300</xdr:rowOff>
    </xdr:from>
    <xdr:to>
      <xdr:col>3</xdr:col>
      <xdr:colOff>2076450</xdr:colOff>
      <xdr:row>33</xdr:row>
      <xdr:rowOff>142875</xdr:rowOff>
    </xdr:to>
    <xdr:pic>
      <xdr:nvPicPr>
        <xdr:cNvPr id="1" name="Picture 2"/>
        <xdr:cNvPicPr preferRelativeResize="1">
          <a:picLocks noChangeAspect="1"/>
        </xdr:cNvPicPr>
      </xdr:nvPicPr>
      <xdr:blipFill>
        <a:blip r:embed="rId1"/>
        <a:stretch>
          <a:fillRect/>
        </a:stretch>
      </xdr:blipFill>
      <xdr:spPr>
        <a:xfrm>
          <a:off x="2971800" y="4429125"/>
          <a:ext cx="1162050" cy="1162050"/>
        </a:xfrm>
        <a:prstGeom prst="rect">
          <a:avLst/>
        </a:prstGeom>
        <a:noFill/>
        <a:ln w="9525" cmpd="sng">
          <a:noFill/>
        </a:ln>
      </xdr:spPr>
    </xdr:pic>
    <xdr:clientData/>
  </xdr:twoCellAnchor>
  <xdr:twoCellAnchor editAs="oneCell">
    <xdr:from>
      <xdr:col>10</xdr:col>
      <xdr:colOff>142875</xdr:colOff>
      <xdr:row>1</xdr:row>
      <xdr:rowOff>142875</xdr:rowOff>
    </xdr:from>
    <xdr:to>
      <xdr:col>10</xdr:col>
      <xdr:colOff>1304925</xdr:colOff>
      <xdr:row>8</xdr:row>
      <xdr:rowOff>85725</xdr:rowOff>
    </xdr:to>
    <xdr:pic>
      <xdr:nvPicPr>
        <xdr:cNvPr id="2" name="Picture 3"/>
        <xdr:cNvPicPr preferRelativeResize="1">
          <a:picLocks noChangeAspect="1"/>
        </xdr:cNvPicPr>
      </xdr:nvPicPr>
      <xdr:blipFill>
        <a:blip r:embed="rId1"/>
        <a:stretch>
          <a:fillRect/>
        </a:stretch>
      </xdr:blipFill>
      <xdr:spPr>
        <a:xfrm>
          <a:off x="7305675" y="304800"/>
          <a:ext cx="11620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Users\Christine\AppData\Local\Microsoft\Documents%20and%20Settings\HP_Propri&#65533;taire\Mes%20documents\_juridique\Rupture%20conventionelle\indemnit&#65533;s%20de%20licenciement\Cartonnages%20IDCC%20489.doc"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0"/>
  </sheetPr>
  <dimension ref="B1:BN71"/>
  <sheetViews>
    <sheetView showGridLines="0" tabSelected="1" workbookViewId="0" topLeftCell="A1">
      <selection activeCell="D6" sqref="D6:E9"/>
    </sheetView>
  </sheetViews>
  <sheetFormatPr defaultColWidth="11.421875" defaultRowHeight="12.75"/>
  <cols>
    <col min="1" max="1" width="3.7109375" style="76" customWidth="1"/>
    <col min="2" max="2" width="19.00390625" style="76" customWidth="1"/>
    <col min="3" max="3" width="10.140625" style="76" customWidth="1"/>
    <col min="4" max="4" width="43.28125" style="76" bestFit="1" customWidth="1"/>
    <col min="5" max="5" width="3.28125" style="76" customWidth="1"/>
    <col min="6" max="6" width="10.421875" style="76" customWidth="1"/>
    <col min="7" max="7" width="6.421875" style="76" customWidth="1"/>
    <col min="8" max="8" width="1.7109375" style="76" customWidth="1"/>
    <col min="9" max="10" width="6.00390625" style="76" customWidth="1"/>
    <col min="11" max="11" width="21.28125" style="76" customWidth="1"/>
    <col min="12" max="43" width="6.00390625" style="76" customWidth="1"/>
    <col min="44" max="44" width="1.7109375" style="76" customWidth="1"/>
    <col min="45" max="45" width="20.8515625" style="76" customWidth="1"/>
    <col min="46" max="46" width="9.8515625" style="76" customWidth="1"/>
    <col min="47" max="47" width="11.57421875" style="76" customWidth="1"/>
    <col min="48" max="48" width="11.8515625" style="76" customWidth="1"/>
    <col min="49" max="49" width="12.28125" style="76" customWidth="1"/>
    <col min="50" max="50" width="14.57421875" style="76" customWidth="1"/>
    <col min="51" max="51" width="15.00390625" style="76" customWidth="1"/>
    <col min="52" max="52" width="15.57421875" style="76" customWidth="1"/>
    <col min="53" max="53" width="10.421875" style="76" customWidth="1"/>
    <col min="54" max="54" width="6.421875" style="76" customWidth="1"/>
    <col min="55" max="55" width="13.7109375" style="76" customWidth="1"/>
    <col min="56" max="56" width="12.8515625" style="76" customWidth="1"/>
    <col min="57" max="57" width="13.57421875" style="76" customWidth="1"/>
    <col min="58" max="58" width="18.421875" style="76" customWidth="1"/>
    <col min="59" max="60" width="14.28125" style="77" customWidth="1"/>
    <col min="61" max="61" width="15.421875" style="77" customWidth="1"/>
    <col min="62" max="62" width="11.421875" style="77" customWidth="1"/>
    <col min="63" max="63" width="11.00390625" style="78" customWidth="1"/>
    <col min="64" max="16384" width="11.421875" style="76" customWidth="1"/>
  </cols>
  <sheetData>
    <row r="1" spans="45:63" ht="12.75" customHeight="1">
      <c r="AS1" s="79" t="s">
        <v>0</v>
      </c>
      <c r="AT1" s="80"/>
      <c r="AU1" s="80"/>
      <c r="AV1" s="80"/>
      <c r="AW1" s="80"/>
      <c r="AX1" s="80"/>
      <c r="AY1" s="80"/>
      <c r="AZ1" s="80"/>
      <c r="BA1" s="80"/>
      <c r="BB1" s="80"/>
      <c r="BC1" s="81" t="s">
        <v>1</v>
      </c>
      <c r="BD1" s="77"/>
      <c r="BE1" s="77"/>
      <c r="BF1" s="77"/>
      <c r="BK1" s="82"/>
    </row>
    <row r="2" spans="2:63" s="83" customFormat="1" ht="18">
      <c r="B2" s="228" t="s">
        <v>2</v>
      </c>
      <c r="C2" s="228"/>
      <c r="D2" s="228"/>
      <c r="E2" s="228"/>
      <c r="F2" s="228"/>
      <c r="G2" s="228"/>
      <c r="K2" s="204"/>
      <c r="L2" s="204"/>
      <c r="M2" s="204"/>
      <c r="N2" s="204"/>
      <c r="O2" s="204"/>
      <c r="P2" s="204"/>
      <c r="Q2" s="204"/>
      <c r="AS2" s="84"/>
      <c r="AT2" s="84"/>
      <c r="AU2" s="84"/>
      <c r="AV2" s="84"/>
      <c r="AW2" s="84"/>
      <c r="AX2" s="84"/>
      <c r="AY2" s="84"/>
      <c r="AZ2" s="84"/>
      <c r="BA2" s="84"/>
      <c r="BB2" s="84"/>
      <c r="BC2" s="85"/>
      <c r="BD2" s="85"/>
      <c r="BE2" s="85"/>
      <c r="BF2" s="85"/>
      <c r="BG2" s="85"/>
      <c r="BH2" s="85"/>
      <c r="BI2" s="85"/>
      <c r="BJ2" s="86"/>
      <c r="BK2" s="82"/>
    </row>
    <row r="3" spans="2:63" s="83" customFormat="1" ht="14.25" customHeight="1">
      <c r="B3" s="229" t="s">
        <v>52</v>
      </c>
      <c r="C3" s="229"/>
      <c r="D3" s="229"/>
      <c r="E3" s="229"/>
      <c r="F3" s="229"/>
      <c r="K3" s="204"/>
      <c r="L3" s="230" t="s">
        <v>62</v>
      </c>
      <c r="M3" s="230"/>
      <c r="N3" s="230"/>
      <c r="O3" s="230"/>
      <c r="P3" s="230"/>
      <c r="Q3" s="230"/>
      <c r="AS3" s="11" t="s">
        <v>53</v>
      </c>
      <c r="AT3" s="84"/>
      <c r="AU3" s="84"/>
      <c r="AV3" s="84"/>
      <c r="AW3" s="84"/>
      <c r="AX3" s="84"/>
      <c r="AY3" s="84"/>
      <c r="AZ3" s="84"/>
      <c r="BA3" s="84"/>
      <c r="BB3" s="84"/>
      <c r="BC3" s="85"/>
      <c r="BD3" s="85"/>
      <c r="BE3" s="85"/>
      <c r="BF3" s="85"/>
      <c r="BG3" s="85"/>
      <c r="BH3" s="85"/>
      <c r="BI3" s="87">
        <v>1</v>
      </c>
      <c r="BJ3" s="82" t="s">
        <v>3</v>
      </c>
      <c r="BK3" s="82" t="str">
        <f>LOOKUP(MONTH(BD5)-1+IF(MONTH(BD5)-1&gt;0,0,12),BI3:BI14,BJ3:BJ14)</f>
        <v>avril</v>
      </c>
    </row>
    <row r="4" spans="11:66" ht="12.75" customHeight="1">
      <c r="K4" s="203"/>
      <c r="L4" s="230"/>
      <c r="M4" s="230"/>
      <c r="N4" s="230"/>
      <c r="O4" s="230"/>
      <c r="P4" s="230"/>
      <c r="Q4" s="230"/>
      <c r="AS4" s="80"/>
      <c r="AT4" s="80"/>
      <c r="AU4" s="80"/>
      <c r="AV4" s="80"/>
      <c r="AW4" s="80"/>
      <c r="AX4" s="80"/>
      <c r="AY4" s="80"/>
      <c r="AZ4" s="80"/>
      <c r="BA4" s="80"/>
      <c r="BB4" s="80"/>
      <c r="BC4" s="77"/>
      <c r="BD4" s="77"/>
      <c r="BE4" s="77"/>
      <c r="BF4" s="77"/>
      <c r="BI4" s="87">
        <v>2</v>
      </c>
      <c r="BJ4" s="82" t="s">
        <v>4</v>
      </c>
      <c r="BK4" s="82" t="str">
        <f>LOOKUP(MONTH(BD5)-2+IF(MONTH(BD5)-2&gt;0,0,12),BI3:BI14,BJ3:BJ14)</f>
        <v>mars</v>
      </c>
      <c r="BN4" s="88"/>
    </row>
    <row r="5" spans="11:63" ht="12.75" customHeight="1">
      <c r="K5" s="203"/>
      <c r="L5" s="230"/>
      <c r="M5" s="230"/>
      <c r="N5" s="230"/>
      <c r="O5" s="230"/>
      <c r="P5" s="230"/>
      <c r="Q5" s="230"/>
      <c r="AS5" s="89"/>
      <c r="AT5" s="80"/>
      <c r="AU5" s="80"/>
      <c r="AV5" s="80"/>
      <c r="AW5" s="80"/>
      <c r="AX5" s="80"/>
      <c r="AY5" s="80"/>
      <c r="AZ5" s="80"/>
      <c r="BA5" s="80"/>
      <c r="BB5" s="80"/>
      <c r="BC5" s="90" t="s">
        <v>5</v>
      </c>
      <c r="BD5" s="90">
        <f ca="1">TODAY()</f>
        <v>41418</v>
      </c>
      <c r="BE5" s="77"/>
      <c r="BF5" s="77"/>
      <c r="BI5" s="87">
        <v>3</v>
      </c>
      <c r="BJ5" s="82" t="s">
        <v>6</v>
      </c>
      <c r="BK5" s="82" t="str">
        <f>LOOKUP(MONTH(BD5)-3+IF(MONTH(BD5)-3&gt;0,0,12),BI3:BI14,BJ3:BJ14)</f>
        <v>février</v>
      </c>
    </row>
    <row r="6" spans="2:63" ht="12.75" customHeight="1">
      <c r="B6" s="91" t="s">
        <v>7</v>
      </c>
      <c r="C6" s="18">
        <v>22007</v>
      </c>
      <c r="D6" s="210" t="s">
        <v>64</v>
      </c>
      <c r="E6" s="211"/>
      <c r="F6" s="92"/>
      <c r="G6" s="93"/>
      <c r="K6" s="203"/>
      <c r="L6" s="230"/>
      <c r="M6" s="230"/>
      <c r="N6" s="230"/>
      <c r="O6" s="230"/>
      <c r="P6" s="230"/>
      <c r="Q6" s="230"/>
      <c r="AS6" s="89"/>
      <c r="AT6" s="80"/>
      <c r="AU6" s="80"/>
      <c r="AV6" s="80"/>
      <c r="AW6" s="80"/>
      <c r="AX6" s="80"/>
      <c r="AY6" s="80"/>
      <c r="AZ6" s="80"/>
      <c r="BA6" s="80"/>
      <c r="BB6" s="80"/>
      <c r="BC6" s="94" t="s">
        <v>8</v>
      </c>
      <c r="BD6" s="95">
        <f>(BD5-C6)/365</f>
        <v>53.18082191780822</v>
      </c>
      <c r="BE6" s="77"/>
      <c r="BF6" s="77"/>
      <c r="BI6" s="87">
        <v>4</v>
      </c>
      <c r="BJ6" s="82" t="s">
        <v>9</v>
      </c>
      <c r="BK6" s="82" t="str">
        <f>LOOKUP(MONTH(BD5)-4+IF(MONTH(BD5)-4&gt;0,0,12),BI3:BI14,BJ3:BJ14)</f>
        <v>janvier</v>
      </c>
    </row>
    <row r="7" spans="4:63" ht="12.75" customHeight="1">
      <c r="D7" s="211"/>
      <c r="E7" s="211"/>
      <c r="F7" s="96"/>
      <c r="G7" s="97"/>
      <c r="K7" s="203"/>
      <c r="L7" s="230"/>
      <c r="M7" s="230"/>
      <c r="N7" s="230"/>
      <c r="O7" s="230"/>
      <c r="P7" s="230"/>
      <c r="Q7" s="230"/>
      <c r="AS7" s="89"/>
      <c r="AT7" s="80"/>
      <c r="AU7" s="80"/>
      <c r="AV7" s="80"/>
      <c r="AW7" s="80"/>
      <c r="AX7" s="80"/>
      <c r="AY7" s="80"/>
      <c r="AZ7" s="80"/>
      <c r="BA7" s="80"/>
      <c r="BB7" s="80"/>
      <c r="BC7" s="77"/>
      <c r="BD7" s="77"/>
      <c r="BE7" s="77"/>
      <c r="BF7" s="77"/>
      <c r="BI7" s="87">
        <v>5</v>
      </c>
      <c r="BJ7" s="82" t="s">
        <v>10</v>
      </c>
      <c r="BK7" s="82" t="str">
        <f>LOOKUP(MONTH(BD5)-5+IF(MONTH(BD5)-5&gt;0,0,12),BI3:BI14,BJ3:BJ14)</f>
        <v>décembre</v>
      </c>
    </row>
    <row r="8" spans="2:63" ht="12.75" customHeight="1">
      <c r="B8" s="91" t="s">
        <v>11</v>
      </c>
      <c r="C8" s="18">
        <v>29312</v>
      </c>
      <c r="D8" s="211"/>
      <c r="E8" s="211"/>
      <c r="K8" s="203"/>
      <c r="L8" s="230"/>
      <c r="M8" s="230"/>
      <c r="N8" s="230"/>
      <c r="O8" s="230"/>
      <c r="P8" s="230"/>
      <c r="Q8" s="230"/>
      <c r="AS8" s="89"/>
      <c r="AT8" s="80"/>
      <c r="AU8" s="80"/>
      <c r="AV8" s="80"/>
      <c r="AW8" s="80"/>
      <c r="AX8" s="80"/>
      <c r="AY8" s="80"/>
      <c r="AZ8" s="80"/>
      <c r="BA8" s="80"/>
      <c r="BB8" s="80"/>
      <c r="BC8" s="77"/>
      <c r="BD8" s="98" t="s">
        <v>12</v>
      </c>
      <c r="BE8" s="98" t="s">
        <v>13</v>
      </c>
      <c r="BF8" s="98" t="s">
        <v>14</v>
      </c>
      <c r="BI8" s="87">
        <v>6</v>
      </c>
      <c r="BJ8" s="82" t="s">
        <v>15</v>
      </c>
      <c r="BK8" s="82" t="str">
        <f>LOOKUP(MONTH(BD5)-6+IF(MONTH(BD5)-6&gt;0,0,12),BI3:BI14,BJ3:BJ14)</f>
        <v>novembre</v>
      </c>
    </row>
    <row r="9" spans="2:63" ht="12.75" customHeight="1">
      <c r="B9" s="91" t="s">
        <v>16</v>
      </c>
      <c r="C9" s="18">
        <v>41365</v>
      </c>
      <c r="D9" s="211"/>
      <c r="E9" s="211"/>
      <c r="K9" s="203"/>
      <c r="L9" s="230"/>
      <c r="M9" s="230"/>
      <c r="N9" s="230"/>
      <c r="O9" s="230"/>
      <c r="P9" s="230"/>
      <c r="Q9" s="230"/>
      <c r="AS9" s="89"/>
      <c r="AT9" s="80"/>
      <c r="AU9" s="80"/>
      <c r="AV9" s="80"/>
      <c r="AW9" s="80"/>
      <c r="AX9" s="80"/>
      <c r="AY9" s="80"/>
      <c r="AZ9" s="80"/>
      <c r="BA9" s="80"/>
      <c r="BB9" s="80"/>
      <c r="BC9" s="77" t="s">
        <v>17</v>
      </c>
      <c r="BD9" s="77">
        <f>DAY(C8)</f>
        <v>1</v>
      </c>
      <c r="BE9" s="77">
        <f>MONTH(C8)</f>
        <v>4</v>
      </c>
      <c r="BF9" s="77">
        <f>YEAR(C8)</f>
        <v>1980</v>
      </c>
      <c r="BI9" s="87">
        <v>7</v>
      </c>
      <c r="BJ9" s="82" t="s">
        <v>18</v>
      </c>
      <c r="BK9" s="82" t="str">
        <f>LOOKUP(MONTH(BD5)-7+IF(MONTH(BD5)-7&gt;0,0,12),BI3:BI14,BJ3:BJ14)</f>
        <v>octobre</v>
      </c>
    </row>
    <row r="10" spans="11:63" ht="12.75">
      <c r="K10" s="203"/>
      <c r="L10" s="203"/>
      <c r="M10" s="203"/>
      <c r="N10" s="203"/>
      <c r="O10" s="203"/>
      <c r="P10" s="203"/>
      <c r="Q10" s="203"/>
      <c r="AS10" s="80"/>
      <c r="AT10" s="80"/>
      <c r="AU10" s="80"/>
      <c r="AV10" s="80"/>
      <c r="AW10" s="80"/>
      <c r="AX10" s="80"/>
      <c r="AY10" s="80"/>
      <c r="AZ10" s="80"/>
      <c r="BA10" s="80"/>
      <c r="BB10" s="80"/>
      <c r="BC10" s="77" t="s">
        <v>19</v>
      </c>
      <c r="BD10" s="77">
        <f>DAY(C9)</f>
        <v>1</v>
      </c>
      <c r="BE10" s="77">
        <f>MONTH(C9)</f>
        <v>4</v>
      </c>
      <c r="BF10" s="77">
        <f>YEAR(C9)</f>
        <v>2013</v>
      </c>
      <c r="BI10" s="87">
        <v>8</v>
      </c>
      <c r="BJ10" s="82" t="s">
        <v>20</v>
      </c>
      <c r="BK10" s="82" t="str">
        <f>LOOKUP(MONTH(BD5)-8+IF(MONTH(BD5)-8&gt;0,0,12),BI3:BI14,BJ3:BJ14)</f>
        <v>septembre</v>
      </c>
    </row>
    <row r="11" spans="2:63" ht="12.75" customHeight="1">
      <c r="B11" s="227" t="s">
        <v>32</v>
      </c>
      <c r="C11" s="227"/>
      <c r="D11" s="99" t="s">
        <v>44</v>
      </c>
      <c r="F11" s="227" t="s">
        <v>23</v>
      </c>
      <c r="G11" s="227"/>
      <c r="K11" s="224" t="s">
        <v>61</v>
      </c>
      <c r="L11" s="224"/>
      <c r="M11" s="224"/>
      <c r="N11" s="224"/>
      <c r="O11" s="224"/>
      <c r="P11" s="224"/>
      <c r="Q11" s="224"/>
      <c r="AS11" s="80"/>
      <c r="AT11" s="100" t="s">
        <v>24</v>
      </c>
      <c r="AU11" s="80"/>
      <c r="AV11" s="101" t="s">
        <v>25</v>
      </c>
      <c r="AW11" s="101" t="s">
        <v>26</v>
      </c>
      <c r="AX11" s="80"/>
      <c r="AY11" s="80"/>
      <c r="AZ11" s="80"/>
      <c r="BA11" s="80"/>
      <c r="BB11" s="80"/>
      <c r="BC11" s="77"/>
      <c r="BD11" s="102">
        <f>BD10-BD9</f>
        <v>0</v>
      </c>
      <c r="BE11" s="102">
        <f>BE10-BE9</f>
        <v>0</v>
      </c>
      <c r="BF11" s="102">
        <f>BF10-BF9</f>
        <v>33</v>
      </c>
      <c r="BI11" s="87">
        <v>9</v>
      </c>
      <c r="BJ11" s="82" t="s">
        <v>27</v>
      </c>
      <c r="BK11" s="82" t="str">
        <f>LOOKUP(MONTH(BD5)-9+IF(MONTH(BD5)-9&gt;0,0,12),BI3:BI14,BJ3:BJ14)</f>
        <v>août</v>
      </c>
    </row>
    <row r="12" spans="2:63" ht="12.75" customHeight="1">
      <c r="B12" s="103">
        <f>BD14</f>
        <v>33</v>
      </c>
      <c r="C12" s="104" t="str">
        <f>IF(B12&gt;1,"années","année")</f>
        <v>années</v>
      </c>
      <c r="F12" s="105">
        <f>BF11</f>
        <v>33</v>
      </c>
      <c r="G12" s="106" t="s">
        <v>28</v>
      </c>
      <c r="K12" s="224"/>
      <c r="L12" s="224"/>
      <c r="M12" s="224"/>
      <c r="N12" s="224"/>
      <c r="O12" s="224"/>
      <c r="P12" s="224"/>
      <c r="Q12" s="224"/>
      <c r="AS12" s="107" t="s">
        <v>29</v>
      </c>
      <c r="AT12" s="108">
        <v>1</v>
      </c>
      <c r="AU12" s="100" t="s">
        <v>13</v>
      </c>
      <c r="AV12" s="109">
        <v>0.2</v>
      </c>
      <c r="AW12" s="109">
        <f>2/15</f>
        <v>0.13333333333333333</v>
      </c>
      <c r="AX12" s="80"/>
      <c r="AY12" s="80"/>
      <c r="AZ12" s="80"/>
      <c r="BA12" s="80"/>
      <c r="BB12" s="80"/>
      <c r="BC12" s="77" t="s">
        <v>30</v>
      </c>
      <c r="BD12" s="77"/>
      <c r="BE12" s="77"/>
      <c r="BF12" s="77"/>
      <c r="BI12" s="87">
        <v>10</v>
      </c>
      <c r="BJ12" s="82" t="s">
        <v>31</v>
      </c>
      <c r="BK12" s="82" t="str">
        <f>LOOKUP(MONTH(BD5)-10+IF(MONTH(BD5)-10&gt;0,0,12),BI3:BI14,BJ3:BJ14)</f>
        <v>juillet</v>
      </c>
    </row>
    <row r="13" spans="2:63" ht="12.75" customHeight="1">
      <c r="B13" s="236" t="s">
        <v>21</v>
      </c>
      <c r="C13" s="236"/>
      <c r="F13" s="105">
        <f>BE11</f>
        <v>0</v>
      </c>
      <c r="G13" s="106" t="s">
        <v>13</v>
      </c>
      <c r="K13" s="224"/>
      <c r="L13" s="224"/>
      <c r="M13" s="224"/>
      <c r="N13" s="224"/>
      <c r="O13" s="224"/>
      <c r="P13" s="224"/>
      <c r="Q13" s="224"/>
      <c r="AS13" s="110" t="s">
        <v>33</v>
      </c>
      <c r="AT13" s="111">
        <v>2</v>
      </c>
      <c r="AU13" s="80"/>
      <c r="AV13" s="80"/>
      <c r="AW13" s="80"/>
      <c r="AX13" s="80"/>
      <c r="AY13" s="80"/>
      <c r="AZ13" s="80"/>
      <c r="BA13" s="80"/>
      <c r="BB13" s="80"/>
      <c r="BC13" s="77" t="s">
        <v>34</v>
      </c>
      <c r="BD13" s="112">
        <f>BD11/365</f>
        <v>0</v>
      </c>
      <c r="BE13" s="112">
        <f>F13/12</f>
        <v>0</v>
      </c>
      <c r="BF13" s="112">
        <f>BF11</f>
        <v>33</v>
      </c>
      <c r="BG13" s="225" t="s">
        <v>29</v>
      </c>
      <c r="BH13" s="225"/>
      <c r="BI13" s="87">
        <v>11</v>
      </c>
      <c r="BJ13" s="82" t="s">
        <v>35</v>
      </c>
      <c r="BK13" s="82" t="str">
        <f>LOOKUP(MONTH(BD5)-11+IF(MONTH(BD5)-11&gt;0,0,12),BI3:BI14,BJ3:BJ14)</f>
        <v>juin</v>
      </c>
    </row>
    <row r="14" spans="2:63" ht="12.75" customHeight="1">
      <c r="B14" s="113">
        <f>MIN(B12,BI19)</f>
        <v>33</v>
      </c>
      <c r="C14" s="104" t="str">
        <f>IF(B14&gt;1,"années","année")</f>
        <v>années</v>
      </c>
      <c r="F14" s="105">
        <f>BD11</f>
        <v>0</v>
      </c>
      <c r="G14" s="106" t="s">
        <v>36</v>
      </c>
      <c r="K14" s="224"/>
      <c r="L14" s="224"/>
      <c r="M14" s="224"/>
      <c r="N14" s="224"/>
      <c r="O14" s="224"/>
      <c r="P14" s="224"/>
      <c r="Q14" s="224"/>
      <c r="AS14" s="114"/>
      <c r="AT14" s="115" t="str">
        <f>CONCATENATE("De 0 à ",AT15," ans")</f>
        <v>De 0 à 5 ans</v>
      </c>
      <c r="AU14" s="115" t="str">
        <f>CONCATENATE(" ",AT15," &lt;   &lt; ",AU15," ans")</f>
        <v> 5 &lt;   &lt; 10 ans</v>
      </c>
      <c r="AV14" s="115" t="str">
        <f>CONCATENATE(" ",AU15," &lt;   &lt; ",AV15," ans")</f>
        <v> 10 &lt;   &lt; 15 ans</v>
      </c>
      <c r="AW14" s="116" t="str">
        <f>CONCATENATE(" ",AV15," &lt;   &lt; ",AW15," ans ")</f>
        <v> 15 &lt;   &lt; 20 ans </v>
      </c>
      <c r="AX14" s="117"/>
      <c r="AY14" s="115" t="str">
        <f>CONCATENATE("&gt; à ",AY15," ans ")</f>
        <v>&gt; à 20 ans </v>
      </c>
      <c r="AZ14" s="115" t="s">
        <v>54</v>
      </c>
      <c r="BA14" s="117" t="s">
        <v>37</v>
      </c>
      <c r="BB14" s="118"/>
      <c r="BC14" s="119" t="s">
        <v>38</v>
      </c>
      <c r="BD14" s="120">
        <f>IF(AS14="par année complète",INT(BD13+BE13+BF13),BD13+BE13+BF13)</f>
        <v>33</v>
      </c>
      <c r="BE14" s="77"/>
      <c r="BF14" s="121">
        <f>IF(OR(B12&gt;AT13,B12=AT13),"",IF(OR(B12&gt;AT12,B12=AT12),AS12,"Aucun droit"))</f>
      </c>
      <c r="BG14" s="226">
        <f>IF(OR(B12&gt;AT12,B12=AT12),B12*AV12+MAX(B12-10,0)*AW12,0)</f>
        <v>9.666666666666668</v>
      </c>
      <c r="BH14" s="226"/>
      <c r="BI14" s="87">
        <v>12</v>
      </c>
      <c r="BJ14" s="82" t="s">
        <v>39</v>
      </c>
      <c r="BK14" s="82" t="str">
        <f>LOOKUP(MONTH(BD5)-12+IF(MONTH(BD5)-12&gt;0,0,12),BI3:BI14,BJ3:BJ14)</f>
        <v>mai</v>
      </c>
    </row>
    <row r="15" spans="11:63" ht="13.5" customHeight="1">
      <c r="K15" s="224"/>
      <c r="L15" s="224"/>
      <c r="M15" s="224"/>
      <c r="N15" s="224"/>
      <c r="O15" s="224"/>
      <c r="P15" s="224"/>
      <c r="Q15" s="224"/>
      <c r="AS15" s="122" t="s">
        <v>13</v>
      </c>
      <c r="AT15" s="123">
        <v>5</v>
      </c>
      <c r="AU15" s="123">
        <v>10</v>
      </c>
      <c r="AV15" s="123">
        <v>15</v>
      </c>
      <c r="AW15" s="123">
        <v>20</v>
      </c>
      <c r="AX15" s="123">
        <v>1000</v>
      </c>
      <c r="AY15" s="123">
        <v>20</v>
      </c>
      <c r="AZ15" s="123"/>
      <c r="BA15" s="124"/>
      <c r="BB15" s="125"/>
      <c r="BC15" s="126"/>
      <c r="BD15" s="119"/>
      <c r="BE15" s="119"/>
      <c r="BF15" s="119"/>
      <c r="BG15" s="126"/>
      <c r="BH15" s="126"/>
      <c r="BK15" s="82"/>
    </row>
    <row r="16" spans="11:63" ht="13.5" customHeight="1">
      <c r="K16" s="224"/>
      <c r="L16" s="224"/>
      <c r="M16" s="224"/>
      <c r="N16" s="224"/>
      <c r="O16" s="224"/>
      <c r="P16" s="224"/>
      <c r="Q16" s="224"/>
      <c r="AS16" s="127" t="s">
        <v>55</v>
      </c>
      <c r="AT16" s="128">
        <v>0.1</v>
      </c>
      <c r="AU16" s="129">
        <v>0.1</v>
      </c>
      <c r="AV16" s="129">
        <f>ROUND(1/6,3)</f>
        <v>0.167</v>
      </c>
      <c r="AW16" s="129">
        <f>ROUND(1/6,3)</f>
        <v>0.167</v>
      </c>
      <c r="AX16" s="129"/>
      <c r="AY16" s="129">
        <f>ROUND(1/6,3)</f>
        <v>0.167</v>
      </c>
      <c r="AZ16" s="129" t="s">
        <v>43</v>
      </c>
      <c r="BA16" s="130" t="s">
        <v>43</v>
      </c>
      <c r="BB16" s="125"/>
      <c r="BC16" s="126"/>
      <c r="BD16" s="119"/>
      <c r="BE16" s="119"/>
      <c r="BF16" s="119"/>
      <c r="BG16" s="126"/>
      <c r="BH16" s="126"/>
      <c r="BK16" s="82"/>
    </row>
    <row r="17" spans="2:63" ht="12.75" customHeight="1">
      <c r="B17" s="227" t="s">
        <v>41</v>
      </c>
      <c r="C17" s="227"/>
      <c r="D17" s="227"/>
      <c r="F17" s="131" t="s">
        <v>42</v>
      </c>
      <c r="K17" s="224"/>
      <c r="L17" s="224"/>
      <c r="M17" s="224"/>
      <c r="N17" s="224"/>
      <c r="O17" s="224"/>
      <c r="P17" s="224"/>
      <c r="Q17" s="224"/>
      <c r="AS17" s="127" t="s">
        <v>22</v>
      </c>
      <c r="AT17" s="132">
        <f>IF(B12&gt;AT15,0.2,0.1)</f>
        <v>0.2</v>
      </c>
      <c r="AU17" s="133">
        <v>0.3</v>
      </c>
      <c r="AV17" s="133">
        <v>0.4</v>
      </c>
      <c r="AW17" s="133">
        <v>0.4</v>
      </c>
      <c r="AX17" s="133"/>
      <c r="AY17" s="133">
        <v>0.5</v>
      </c>
      <c r="AZ17" s="133" t="s">
        <v>43</v>
      </c>
      <c r="BA17" s="134">
        <v>12</v>
      </c>
      <c r="BB17" s="125"/>
      <c r="BC17" s="135" t="str">
        <f>D11</f>
        <v>Ouvrier</v>
      </c>
      <c r="BD17" s="136"/>
      <c r="BE17" s="136"/>
      <c r="BF17" s="136"/>
      <c r="BG17" s="136"/>
      <c r="BH17" s="137"/>
      <c r="BK17" s="82"/>
    </row>
    <row r="18" spans="2:63" ht="12.75" customHeight="1">
      <c r="B18" s="138" t="str">
        <f>IF(OR(B12&gt;AT13,B12=AT13),CONCATENATE("Supérieure ou égale à ",AT13," ans"),"")</f>
        <v>Supérieure ou égale à 2 ans</v>
      </c>
      <c r="C18" s="139" t="str">
        <f>IF(OR(B12&gt;AT13,B12=AT13),"Oui","")</f>
        <v>Oui</v>
      </c>
      <c r="D18" s="91" t="str">
        <f>IF(C18="OUI",AS13,"")</f>
        <v>Droits convention ouverts</v>
      </c>
      <c r="F18" s="140"/>
      <c r="K18" s="224"/>
      <c r="L18" s="224"/>
      <c r="M18" s="224"/>
      <c r="N18" s="224"/>
      <c r="O18" s="224"/>
      <c r="P18" s="224"/>
      <c r="Q18" s="224"/>
      <c r="AS18" s="127" t="s">
        <v>56</v>
      </c>
      <c r="AT18" s="132">
        <v>0.1</v>
      </c>
      <c r="AU18" s="133">
        <v>0.1</v>
      </c>
      <c r="AV18" s="133">
        <f>ROUND((0.1+1/15),3)</f>
        <v>0.167</v>
      </c>
      <c r="AW18" s="133">
        <f>ROUND(1/6,3)</f>
        <v>0.167</v>
      </c>
      <c r="AX18" s="133"/>
      <c r="AY18" s="133">
        <f>ROUND(1/6,3)</f>
        <v>0.167</v>
      </c>
      <c r="AZ18" s="133" t="s">
        <v>43</v>
      </c>
      <c r="BA18" s="134" t="s">
        <v>43</v>
      </c>
      <c r="BB18" s="141"/>
      <c r="BC18" s="102" t="str">
        <f aca="true" t="shared" si="0" ref="BC18:BJ18">AT14</f>
        <v>De 0 à 5 ans</v>
      </c>
      <c r="BD18" s="102" t="str">
        <f t="shared" si="0"/>
        <v> 5 &lt;   &lt; 10 ans</v>
      </c>
      <c r="BE18" s="102" t="str">
        <f t="shared" si="0"/>
        <v> 10 &lt;   &lt; 15 ans</v>
      </c>
      <c r="BF18" s="102" t="str">
        <f t="shared" si="0"/>
        <v> 15 &lt;   &lt; 20 ans </v>
      </c>
      <c r="BG18" s="102">
        <f t="shared" si="0"/>
        <v>0</v>
      </c>
      <c r="BH18" s="102" t="str">
        <f t="shared" si="0"/>
        <v>&gt; à 20 ans </v>
      </c>
      <c r="BI18" s="102" t="str">
        <f t="shared" si="0"/>
        <v>Limite ancienneté</v>
      </c>
      <c r="BJ18" s="102" t="str">
        <f t="shared" si="0"/>
        <v>Plafond</v>
      </c>
      <c r="BK18" s="82"/>
    </row>
    <row r="19" spans="2:63" ht="12.75" customHeight="1">
      <c r="B19" s="138" t="str">
        <f>IF(OR(B12&gt;AT13,B12=AT13),AT14,IF(OR(B12&gt;AT12,B12=AT12),CONCATENATE("Supérieure ou égale à ",AT12," an"),""))</f>
        <v>De 0 à 5 ans</v>
      </c>
      <c r="C19" s="139" t="str">
        <f>IF(B12&gt;AT12,"Oui","")</f>
        <v>Oui</v>
      </c>
      <c r="D19" s="91" t="str">
        <f>IF(BF14=AS12,BF14,IF(BF14="",CONCATENATE(ROUND(BC20*10,2)," dixièmes de mois par année dans l'entreprise"),""))</f>
        <v>1 dixièmes de mois par année dans l'entreprise</v>
      </c>
      <c r="F19" s="142">
        <f>IF(D19=AS12,"",IF(D18=AS13,BC19,""))</f>
        <v>0.5</v>
      </c>
      <c r="K19" s="224"/>
      <c r="L19" s="224"/>
      <c r="M19" s="224"/>
      <c r="N19" s="224"/>
      <c r="O19" s="224"/>
      <c r="P19" s="224"/>
      <c r="Q19" s="224"/>
      <c r="AS19" s="127" t="s">
        <v>44</v>
      </c>
      <c r="AT19" s="132">
        <v>0.1</v>
      </c>
      <c r="AU19" s="133">
        <v>0.1</v>
      </c>
      <c r="AV19" s="133">
        <f>ROUND(1/6,3)</f>
        <v>0.167</v>
      </c>
      <c r="AW19" s="133">
        <f>ROUND(1/6,3)</f>
        <v>0.167</v>
      </c>
      <c r="AX19" s="133"/>
      <c r="AY19" s="133">
        <f>ROUND(1/6,3)</f>
        <v>0.167</v>
      </c>
      <c r="AZ19" s="133" t="s">
        <v>43</v>
      </c>
      <c r="BA19" s="134" t="s">
        <v>43</v>
      </c>
      <c r="BB19" s="125"/>
      <c r="BC19" s="143">
        <f>MIN(B12,AT15)*LOOKUP(D11,$AS$16:$AS$20,$AT$16:$AT$20)</f>
        <v>0.5</v>
      </c>
      <c r="BD19" s="143">
        <f>MIN(B12-AT15,AU15-AT15)*LOOKUP($D$11,$AS$16:$AS$20,$AU$16:$AU$20)</f>
        <v>0.5</v>
      </c>
      <c r="BE19" s="143">
        <f>MIN(B12-AU15,AV15-AU15)*BE20</f>
        <v>0.8350000000000001</v>
      </c>
      <c r="BF19" s="143">
        <f>MIN(B12-AV15,AW15-AV15)*BF20</f>
        <v>0.8350000000000001</v>
      </c>
      <c r="BG19" s="143">
        <f>MIN((B12-AW15),AX15-AW15)*BG20</f>
        <v>0</v>
      </c>
      <c r="BH19" s="143">
        <f>ROUND((B12-AW15)*BH20,2)</f>
        <v>2.17</v>
      </c>
      <c r="BI19" s="143" t="str">
        <f>LOOKUP(D11,AS16:AS20,AZ16:AZ20)</f>
        <v>néant</v>
      </c>
      <c r="BJ19" s="143" t="str">
        <f>LOOKUP(D11,AS16:AS20,BA16:BA20)</f>
        <v>néant</v>
      </c>
      <c r="BK19" s="82"/>
    </row>
    <row r="20" spans="2:63" ht="12.75" customHeight="1">
      <c r="B20" s="91" t="str">
        <f>IF(B12&gt;AT15,AU14,"")</f>
        <v> 5 &lt;   &lt; 10 ans</v>
      </c>
      <c r="C20" s="139" t="str">
        <f>IF(B12&gt;AT15,"Oui","")</f>
        <v>Oui</v>
      </c>
      <c r="D20" s="91" t="str">
        <f>IF(C20="oui",CONCATENATE(BD20*10," dixièmes de mois par année dans l'entreprise"),"")</f>
        <v>1 dixièmes de mois par année dans l'entreprise</v>
      </c>
      <c r="F20" s="142">
        <f>IF(C20="oui",BD19,"")</f>
        <v>0.5</v>
      </c>
      <c r="K20" s="224"/>
      <c r="L20" s="224"/>
      <c r="M20" s="224"/>
      <c r="N20" s="224"/>
      <c r="O20" s="224"/>
      <c r="P20" s="224"/>
      <c r="Q20" s="224"/>
      <c r="AS20" s="144"/>
      <c r="AT20" s="145"/>
      <c r="AU20" s="146"/>
      <c r="AV20" s="146"/>
      <c r="AW20" s="146"/>
      <c r="AX20" s="146"/>
      <c r="AY20" s="146"/>
      <c r="AZ20" s="146"/>
      <c r="BA20" s="147"/>
      <c r="BB20" s="125"/>
      <c r="BC20" s="102">
        <f>LOOKUP(D11,$AS$16:$AS$20,$AT$16:$AT$20)</f>
        <v>0.1</v>
      </c>
      <c r="BD20" s="102">
        <f>LOOKUP($D$11,$AS$16:$AS$20,$AU$16:$AU$20)</f>
        <v>0.1</v>
      </c>
      <c r="BE20" s="102">
        <f>LOOKUP($D$11,$AS$16:$AS$20,$AV$16:$AV$20)</f>
        <v>0.167</v>
      </c>
      <c r="BF20" s="148">
        <f>LOOKUP($D$11,$AS$16:$AS$20,$AW$16:$AW$20)</f>
        <v>0.167</v>
      </c>
      <c r="BG20" s="102">
        <f>LOOKUP($D$11,$AS$16:$AS$20,$AX$16:$AX$20)</f>
        <v>0</v>
      </c>
      <c r="BH20" s="102">
        <f>LOOKUP($D$11,$AS$16:$AS$20,$AY$16:$AY$20)</f>
        <v>0.167</v>
      </c>
      <c r="BI20" s="143"/>
      <c r="BK20" s="82"/>
    </row>
    <row r="21" spans="2:63" ht="12.75" customHeight="1">
      <c r="B21" s="91" t="str">
        <f>IF(B12&gt;AU15,AV14,"")</f>
        <v> 10 &lt;   &lt; 15 ans</v>
      </c>
      <c r="C21" s="139" t="str">
        <f>IF(B12&gt;AU15,"Oui","")</f>
        <v>Oui</v>
      </c>
      <c r="D21" s="91" t="str">
        <f>IF(C21="oui",CONCATENATE(BE20*10," dixièmes de mois par année dans l'entreprise"),"")</f>
        <v>1,67 dixièmes de mois par année dans l'entreprise</v>
      </c>
      <c r="F21" s="142">
        <f>IF(C21="oui",BE19,"")</f>
        <v>0.8350000000000001</v>
      </c>
      <c r="K21" s="224"/>
      <c r="L21" s="224"/>
      <c r="M21" s="224"/>
      <c r="N21" s="224"/>
      <c r="O21" s="224"/>
      <c r="P21" s="224"/>
      <c r="Q21" s="224"/>
      <c r="AS21" s="149"/>
      <c r="AT21" s="118"/>
      <c r="AU21" s="118"/>
      <c r="AV21" s="118"/>
      <c r="AW21" s="118"/>
      <c r="AX21" s="118"/>
      <c r="AY21" s="118"/>
      <c r="AZ21" s="118"/>
      <c r="BA21" s="118"/>
      <c r="BB21" s="118"/>
      <c r="BC21" s="119"/>
      <c r="BD21" s="119"/>
      <c r="BE21" s="119"/>
      <c r="BF21" s="119"/>
      <c r="BG21" s="150" t="s">
        <v>13</v>
      </c>
      <c r="BH21" s="150"/>
      <c r="BI21" s="151">
        <f>IF(BD6&gt;BI20,AZ15,IF(BD6&gt;BI19,AY15,0))</f>
        <v>0</v>
      </c>
      <c r="BK21" s="82"/>
    </row>
    <row r="22" spans="2:63" ht="12.75" customHeight="1">
      <c r="B22" s="91" t="str">
        <f>IF(B12&gt;AV15,AW14,"")</f>
        <v> 15 &lt;   &lt; 20 ans </v>
      </c>
      <c r="C22" s="139" t="str">
        <f>IF(B12&gt;AV15,"Oui","")</f>
        <v>Oui</v>
      </c>
      <c r="D22" s="91" t="str">
        <f>IF(C22="oui",CONCATENATE(BF20*10," dixièmes de mois par année dans l'entreprise",""),"")</f>
        <v>1,67 dixièmes de mois par année dans l'entreprise</v>
      </c>
      <c r="F22" s="142">
        <f>IF(C22="OUI",BF19,"")</f>
        <v>0.8350000000000001</v>
      </c>
      <c r="K22" s="224"/>
      <c r="L22" s="224"/>
      <c r="M22" s="224"/>
      <c r="N22" s="224"/>
      <c r="O22" s="224"/>
      <c r="P22" s="224"/>
      <c r="Q22" s="224"/>
      <c r="AS22" s="149"/>
      <c r="AT22" s="118"/>
      <c r="AU22" s="118"/>
      <c r="AV22" s="118"/>
      <c r="AW22" s="118"/>
      <c r="AX22" s="118"/>
      <c r="AY22" s="118"/>
      <c r="AZ22" s="118"/>
      <c r="BA22" s="118"/>
      <c r="BB22" s="118"/>
      <c r="BC22" s="119"/>
      <c r="BD22" s="119"/>
      <c r="BE22" s="119"/>
      <c r="BF22" s="119"/>
      <c r="BG22" s="119"/>
      <c r="BH22" s="119"/>
      <c r="BK22" s="82"/>
    </row>
    <row r="23" spans="2:63" ht="12.75" customHeight="1">
      <c r="B23" s="91"/>
      <c r="C23" s="139"/>
      <c r="D23" s="91"/>
      <c r="F23" s="142"/>
      <c r="K23" s="224"/>
      <c r="L23" s="224"/>
      <c r="M23" s="224"/>
      <c r="N23" s="224"/>
      <c r="O23" s="224"/>
      <c r="P23" s="224"/>
      <c r="Q23" s="224"/>
      <c r="AS23" s="149"/>
      <c r="AT23" s="118"/>
      <c r="AU23" s="118"/>
      <c r="AV23" s="118"/>
      <c r="AW23" s="118"/>
      <c r="AX23" s="118"/>
      <c r="AY23" s="118"/>
      <c r="AZ23" s="118"/>
      <c r="BA23" s="118"/>
      <c r="BB23" s="118"/>
      <c r="BC23" s="119"/>
      <c r="BD23" s="119"/>
      <c r="BE23" s="119"/>
      <c r="BF23" s="119"/>
      <c r="BG23" s="119"/>
      <c r="BH23" s="119"/>
      <c r="BK23" s="82"/>
    </row>
    <row r="24" spans="2:63" ht="12.75" customHeight="1">
      <c r="B24" s="152" t="str">
        <f>IF(B12&gt;AY15,AY14,"")</f>
        <v>&gt; à 20 ans </v>
      </c>
      <c r="C24" s="153" t="str">
        <f>IF(B12&gt;AW15,"Oui","")</f>
        <v>Oui</v>
      </c>
      <c r="D24" s="152" t="str">
        <f>IF(C24="oui",CONCATENATE(BH20*10," dixièmes de mois par année dans l'entreprise"),"")</f>
        <v>1,67 dixièmes de mois par année dans l'entreprise</v>
      </c>
      <c r="F24" s="154">
        <f>IF(C24="Oui",BH19,"")</f>
        <v>2.17</v>
      </c>
      <c r="K24" s="224"/>
      <c r="L24" s="224"/>
      <c r="M24" s="224"/>
      <c r="N24" s="224"/>
      <c r="O24" s="224"/>
      <c r="P24" s="224"/>
      <c r="Q24" s="224"/>
      <c r="AS24" s="118"/>
      <c r="AT24" s="118"/>
      <c r="AU24" s="118"/>
      <c r="AV24" s="118"/>
      <c r="AW24" s="118"/>
      <c r="AX24" s="118"/>
      <c r="AY24" s="118"/>
      <c r="AZ24" s="118"/>
      <c r="BA24" s="118"/>
      <c r="BB24" s="118"/>
      <c r="BC24" s="119"/>
      <c r="BD24" s="119"/>
      <c r="BE24" s="119"/>
      <c r="BF24" s="119"/>
      <c r="BG24" s="119"/>
      <c r="BH24" s="119"/>
      <c r="BK24" s="82"/>
    </row>
    <row r="25" spans="6:63" ht="12.75" customHeight="1">
      <c r="F25" s="155">
        <f>SUM(F19:F24)</f>
        <v>4.84</v>
      </c>
      <c r="K25" s="224"/>
      <c r="L25" s="224"/>
      <c r="M25" s="224"/>
      <c r="N25" s="224"/>
      <c r="O25" s="224"/>
      <c r="P25" s="224"/>
      <c r="Q25" s="224"/>
      <c r="AS25" s="118"/>
      <c r="AT25" s="118"/>
      <c r="AU25" s="118"/>
      <c r="AV25" s="118"/>
      <c r="AW25" s="118"/>
      <c r="AX25" s="118"/>
      <c r="AY25" s="118"/>
      <c r="AZ25" s="118"/>
      <c r="BA25" s="118"/>
      <c r="BB25" s="118"/>
      <c r="BC25" s="119"/>
      <c r="BD25" s="119"/>
      <c r="BE25" s="119"/>
      <c r="BF25" s="119"/>
      <c r="BG25" s="119"/>
      <c r="BH25" s="119"/>
      <c r="BK25" s="82"/>
    </row>
    <row r="26" spans="2:63" ht="12.75" customHeight="1">
      <c r="B26" s="156" t="s">
        <v>45</v>
      </c>
      <c r="C26" s="157" t="s">
        <v>46</v>
      </c>
      <c r="K26" s="224"/>
      <c r="L26" s="224"/>
      <c r="M26" s="224"/>
      <c r="N26" s="224"/>
      <c r="O26" s="224"/>
      <c r="P26" s="224"/>
      <c r="Q26" s="224"/>
      <c r="AS26" s="80"/>
      <c r="AT26" s="80"/>
      <c r="AU26" s="80"/>
      <c r="AV26" s="80"/>
      <c r="AW26" s="80"/>
      <c r="AX26" s="80"/>
      <c r="AY26" s="80"/>
      <c r="AZ26" s="80"/>
      <c r="BA26" s="80"/>
      <c r="BB26" s="80"/>
      <c r="BC26" s="77"/>
      <c r="BD26" s="77"/>
      <c r="BE26" s="77"/>
      <c r="BF26" s="77"/>
      <c r="BK26" s="82"/>
    </row>
    <row r="27" spans="2:63" ht="12.75">
      <c r="B27" s="91" t="str">
        <f>CONCATENATE("M-1          ",BK3)</f>
        <v>M-1          avril</v>
      </c>
      <c r="C27" s="67">
        <v>1000</v>
      </c>
      <c r="AS27" s="231"/>
      <c r="AT27" s="231"/>
      <c r="AU27" s="231"/>
      <c r="AV27" s="231"/>
      <c r="AW27" s="80"/>
      <c r="AX27" s="80"/>
      <c r="AY27" s="80"/>
      <c r="AZ27" s="80"/>
      <c r="BA27" s="80"/>
      <c r="BB27" s="80"/>
      <c r="BC27" s="77"/>
      <c r="BD27" s="77"/>
      <c r="BE27" s="77"/>
      <c r="BF27" s="77"/>
      <c r="BK27" s="82"/>
    </row>
    <row r="28" spans="2:63" ht="12.75" customHeight="1">
      <c r="B28" s="91" t="str">
        <f>CONCATENATE("M-2          ",BK4)</f>
        <v>M-2          mars</v>
      </c>
      <c r="C28" s="67">
        <v>1000</v>
      </c>
      <c r="K28" s="233" t="s">
        <v>60</v>
      </c>
      <c r="AS28" s="80"/>
      <c r="AT28" s="80"/>
      <c r="AU28" s="80"/>
      <c r="AV28" s="80"/>
      <c r="AW28" s="80"/>
      <c r="AX28" s="80"/>
      <c r="AY28" s="80"/>
      <c r="AZ28" s="80"/>
      <c r="BA28" s="80"/>
      <c r="BB28" s="80"/>
      <c r="BC28" s="77"/>
      <c r="BD28" s="77"/>
      <c r="BE28" s="77"/>
      <c r="BF28" s="77"/>
      <c r="BK28" s="82"/>
    </row>
    <row r="29" spans="2:63" ht="12.75">
      <c r="B29" s="91" t="str">
        <f>CONCATENATE("M-3          ",BK5)</f>
        <v>M-3          février</v>
      </c>
      <c r="C29" s="67">
        <v>1000</v>
      </c>
      <c r="K29" s="233"/>
      <c r="AS29" s="80"/>
      <c r="AT29" s="80"/>
      <c r="AU29" s="80"/>
      <c r="AV29" s="80"/>
      <c r="AW29" s="80"/>
      <c r="AX29" s="80"/>
      <c r="AY29" s="80"/>
      <c r="AZ29" s="80"/>
      <c r="BA29" s="80"/>
      <c r="BB29" s="80"/>
      <c r="BC29" s="77"/>
      <c r="BD29" s="77"/>
      <c r="BE29" s="77"/>
      <c r="BF29" s="77"/>
      <c r="BK29" s="82"/>
    </row>
    <row r="30" spans="2:63" ht="12.75">
      <c r="B30" s="91" t="str">
        <f>CONCATENATE("M-4          ",BK6)</f>
        <v>M-4          janvier</v>
      </c>
      <c r="C30" s="67">
        <v>1000</v>
      </c>
      <c r="K30" s="233"/>
      <c r="AS30" s="80"/>
      <c r="AT30" s="80"/>
      <c r="AU30" s="80"/>
      <c r="AV30" s="80"/>
      <c r="AW30" s="80"/>
      <c r="AX30" s="80"/>
      <c r="AY30" s="80"/>
      <c r="AZ30" s="80"/>
      <c r="BA30" s="80"/>
      <c r="BB30" s="80"/>
      <c r="BC30" s="77"/>
      <c r="BD30" s="77"/>
      <c r="BE30" s="77"/>
      <c r="BF30" s="77"/>
      <c r="BK30" s="82"/>
    </row>
    <row r="31" spans="2:62" ht="12.75">
      <c r="B31" s="91" t="str">
        <f>CONCATENATE("M-5          ",BK7)</f>
        <v>M-5          décembre</v>
      </c>
      <c r="C31" s="67">
        <v>2000</v>
      </c>
      <c r="K31" s="233"/>
      <c r="BC31" s="158"/>
      <c r="BD31" s="158"/>
      <c r="BE31" s="158"/>
      <c r="BF31" s="158"/>
      <c r="BG31" s="158"/>
      <c r="BH31" s="158"/>
      <c r="BI31" s="158"/>
      <c r="BJ31" s="158"/>
    </row>
    <row r="32" spans="2:62" ht="12.75">
      <c r="B32" s="91" t="str">
        <f>CONCATENATE("M-6          ",BK8)</f>
        <v>M-6          novembre</v>
      </c>
      <c r="C32" s="67">
        <v>1000</v>
      </c>
      <c r="BC32" s="158"/>
      <c r="BD32" s="158"/>
      <c r="BE32" s="158"/>
      <c r="BF32" s="158"/>
      <c r="BG32" s="158"/>
      <c r="BH32" s="158"/>
      <c r="BI32" s="158"/>
      <c r="BJ32" s="158"/>
    </row>
    <row r="33" spans="2:62" ht="12.75">
      <c r="B33" s="91" t="str">
        <f>CONCATENATE("M-7          ",BK9)</f>
        <v>M-7          octobre</v>
      </c>
      <c r="C33" s="67">
        <v>1000</v>
      </c>
      <c r="BC33" s="158"/>
      <c r="BD33" s="158"/>
      <c r="BE33" s="158"/>
      <c r="BF33" s="158"/>
      <c r="BG33" s="158"/>
      <c r="BH33" s="158"/>
      <c r="BI33" s="158"/>
      <c r="BJ33" s="158"/>
    </row>
    <row r="34" spans="2:62" ht="12.75">
      <c r="B34" s="91" t="str">
        <f>CONCATENATE("M-8          ",BK10)</f>
        <v>M-8          septembre</v>
      </c>
      <c r="C34" s="67">
        <v>1000</v>
      </c>
      <c r="BC34" s="158"/>
      <c r="BD34" s="158"/>
      <c r="BE34" s="158"/>
      <c r="BF34" s="158"/>
      <c r="BG34" s="158"/>
      <c r="BH34" s="158"/>
      <c r="BI34" s="158"/>
      <c r="BJ34" s="158"/>
    </row>
    <row r="35" spans="2:62" ht="12.75">
      <c r="B35" s="91" t="str">
        <f>CONCATENATE("M-9          ",BK11)</f>
        <v>M-9          août</v>
      </c>
      <c r="C35" s="67">
        <v>1000</v>
      </c>
      <c r="BC35" s="158"/>
      <c r="BD35" s="158"/>
      <c r="BE35" s="158"/>
      <c r="BF35" s="158"/>
      <c r="BG35" s="158"/>
      <c r="BH35" s="158"/>
      <c r="BI35" s="158"/>
      <c r="BJ35" s="158"/>
    </row>
    <row r="36" spans="2:62" ht="12.75">
      <c r="B36" s="91" t="str">
        <f>CONCATENATE("M-10         ",BK12)</f>
        <v>M-10         juillet</v>
      </c>
      <c r="C36" s="67">
        <v>1000</v>
      </c>
      <c r="BC36" s="158"/>
      <c r="BD36" s="158"/>
      <c r="BE36" s="158"/>
      <c r="BF36" s="158"/>
      <c r="BG36" s="158"/>
      <c r="BH36" s="158"/>
      <c r="BI36" s="158"/>
      <c r="BJ36" s="158"/>
    </row>
    <row r="37" spans="2:62" ht="12.75">
      <c r="B37" s="91" t="str">
        <f>CONCATENATE("M-11         ",BK13)</f>
        <v>M-11         juin</v>
      </c>
      <c r="C37" s="67">
        <v>1000</v>
      </c>
      <c r="BC37" s="158"/>
      <c r="BD37" s="158"/>
      <c r="BE37" s="158"/>
      <c r="BF37" s="158"/>
      <c r="BG37" s="158"/>
      <c r="BH37" s="158"/>
      <c r="BI37" s="158"/>
      <c r="BJ37" s="158"/>
    </row>
    <row r="38" spans="2:62" ht="12.75">
      <c r="B38" s="91" t="str">
        <f>CONCATENATE("M-12         ",BK14)</f>
        <v>M-12         mai</v>
      </c>
      <c r="C38" s="67">
        <v>1000</v>
      </c>
      <c r="BC38" s="158"/>
      <c r="BD38" s="158"/>
      <c r="BE38" s="158"/>
      <c r="BF38" s="158"/>
      <c r="BG38" s="158"/>
      <c r="BH38" s="158"/>
      <c r="BI38" s="158"/>
      <c r="BJ38" s="158"/>
    </row>
    <row r="39" spans="3:62" ht="12.75">
      <c r="C39" s="159">
        <f>SUM(C27:C38)/COUNTA(C27:C38)</f>
        <v>1083.3333333333333</v>
      </c>
      <c r="BC39" s="158"/>
      <c r="BD39" s="158"/>
      <c r="BE39" s="158"/>
      <c r="BF39" s="158"/>
      <c r="BG39" s="158"/>
      <c r="BH39" s="158"/>
      <c r="BI39" s="158"/>
      <c r="BJ39" s="158"/>
    </row>
    <row r="40" spans="55:62" ht="12.75">
      <c r="BC40" s="158"/>
      <c r="BD40" s="158"/>
      <c r="BE40" s="158"/>
      <c r="BF40" s="158"/>
      <c r="BG40" s="158"/>
      <c r="BH40" s="158"/>
      <c r="BI40" s="158"/>
      <c r="BJ40" s="158"/>
    </row>
    <row r="41" spans="2:62" ht="12.75">
      <c r="B41" s="156" t="s">
        <v>45</v>
      </c>
      <c r="C41" s="157" t="s">
        <v>47</v>
      </c>
      <c r="BC41" s="158"/>
      <c r="BD41" s="158"/>
      <c r="BE41" s="158"/>
      <c r="BF41" s="158"/>
      <c r="BG41" s="158"/>
      <c r="BH41" s="158"/>
      <c r="BI41" s="158"/>
      <c r="BJ41" s="158"/>
    </row>
    <row r="42" spans="2:62" ht="12.75">
      <c r="B42" s="91" t="str">
        <f aca="true" t="shared" si="1" ref="B42:C44">B27</f>
        <v>M-1          avril</v>
      </c>
      <c r="C42" s="160">
        <f t="shared" si="1"/>
        <v>1000</v>
      </c>
      <c r="BC42" s="158"/>
      <c r="BD42" s="158"/>
      <c r="BE42" s="158"/>
      <c r="BF42" s="158"/>
      <c r="BG42" s="158"/>
      <c r="BH42" s="158"/>
      <c r="BI42" s="158"/>
      <c r="BJ42" s="158"/>
    </row>
    <row r="43" spans="2:62" ht="12.75">
      <c r="B43" s="91" t="str">
        <f t="shared" si="1"/>
        <v>M-2          mars</v>
      </c>
      <c r="C43" s="160">
        <f t="shared" si="1"/>
        <v>1000</v>
      </c>
      <c r="BC43" s="158"/>
      <c r="BD43" s="158"/>
      <c r="BE43" s="158"/>
      <c r="BF43" s="158"/>
      <c r="BG43" s="158"/>
      <c r="BH43" s="158"/>
      <c r="BI43" s="158"/>
      <c r="BJ43" s="158"/>
    </row>
    <row r="44" spans="2:62" ht="12.75">
      <c r="B44" s="91" t="str">
        <f t="shared" si="1"/>
        <v>M-3          février</v>
      </c>
      <c r="C44" s="160">
        <f t="shared" si="1"/>
        <v>1000</v>
      </c>
      <c r="BC44" s="158"/>
      <c r="BD44" s="158"/>
      <c r="BE44" s="158"/>
      <c r="BF44" s="158"/>
      <c r="BG44" s="158"/>
      <c r="BH44" s="158"/>
      <c r="BI44" s="158"/>
      <c r="BJ44" s="158"/>
    </row>
    <row r="45" spans="3:62" ht="12.75">
      <c r="C45" s="159">
        <f>SUM(C42:C44)/COUNTA(C42:C44)</f>
        <v>1000</v>
      </c>
      <c r="BC45" s="158"/>
      <c r="BD45" s="158"/>
      <c r="BE45" s="158"/>
      <c r="BF45" s="158"/>
      <c r="BG45" s="158"/>
      <c r="BH45" s="158"/>
      <c r="BI45" s="158"/>
      <c r="BJ45" s="158"/>
    </row>
    <row r="46" spans="55:62" ht="12.75">
      <c r="BC46" s="158"/>
      <c r="BD46" s="158"/>
      <c r="BE46" s="158"/>
      <c r="BF46" s="158"/>
      <c r="BG46" s="158"/>
      <c r="BH46" s="158"/>
      <c r="BI46" s="158"/>
      <c r="BJ46" s="158"/>
    </row>
    <row r="47" spans="2:62" ht="12.75">
      <c r="B47" s="227" t="s">
        <v>48</v>
      </c>
      <c r="C47" s="227"/>
      <c r="BC47" s="158"/>
      <c r="BD47" s="158"/>
      <c r="BE47" s="158"/>
      <c r="BF47" s="158"/>
      <c r="BG47" s="158"/>
      <c r="BH47" s="158"/>
      <c r="BI47" s="158"/>
      <c r="BJ47" s="158"/>
    </row>
    <row r="48" spans="2:62" ht="15">
      <c r="B48" s="232">
        <f>MAX(C39,C45)</f>
        <v>1083.3333333333333</v>
      </c>
      <c r="C48" s="232"/>
      <c r="D48" s="161" t="str">
        <f>IF(B48=C45,"&lt;= Moyenne des 3 derniers mois",IF(B48=C39,"&lt;= Moyenne sur un an",""))</f>
        <v>&lt;= Moyenne sur un an</v>
      </c>
      <c r="BC48" s="162"/>
      <c r="BD48" s="162"/>
      <c r="BE48" s="158"/>
      <c r="BF48" s="158"/>
      <c r="BG48" s="158"/>
      <c r="BH48" s="158"/>
      <c r="BI48" s="158"/>
      <c r="BJ48" s="158"/>
    </row>
    <row r="49" spans="55:62" ht="12.75">
      <c r="BC49" s="158"/>
      <c r="BD49" s="158"/>
      <c r="BE49" s="158"/>
      <c r="BF49" s="158"/>
      <c r="BG49" s="158"/>
      <c r="BH49" s="158"/>
      <c r="BI49" s="158"/>
      <c r="BJ49" s="158"/>
    </row>
    <row r="50" spans="2:62" ht="12.75">
      <c r="B50" s="227"/>
      <c r="C50" s="227"/>
      <c r="BC50" s="158"/>
      <c r="BD50" s="158"/>
      <c r="BE50" s="158"/>
      <c r="BF50" s="158"/>
      <c r="BG50" s="158"/>
      <c r="BH50" s="158"/>
      <c r="BI50" s="158"/>
      <c r="BJ50" s="158"/>
    </row>
    <row r="51" spans="2:62" ht="12.75">
      <c r="B51" s="152"/>
      <c r="C51" s="139"/>
      <c r="D51" s="163"/>
      <c r="BC51" s="158"/>
      <c r="BD51" s="158"/>
      <c r="BE51" s="158"/>
      <c r="BF51" s="158"/>
      <c r="BG51" s="158"/>
      <c r="BH51" s="158"/>
      <c r="BI51" s="158"/>
      <c r="BJ51" s="158"/>
    </row>
    <row r="52" spans="2:62" ht="12.75">
      <c r="B52" s="93"/>
      <c r="C52" s="163"/>
      <c r="D52" s="163"/>
      <c r="BC52" s="158"/>
      <c r="BD52" s="158"/>
      <c r="BE52" s="158"/>
      <c r="BF52" s="158"/>
      <c r="BG52" s="158"/>
      <c r="BH52" s="158"/>
      <c r="BI52" s="158"/>
      <c r="BJ52" s="158"/>
    </row>
    <row r="53" spans="2:62" ht="12.75">
      <c r="B53" s="164" t="s">
        <v>37</v>
      </c>
      <c r="C53" s="165" t="str">
        <f>BJ19</f>
        <v>néant</v>
      </c>
      <c r="BC53" s="158"/>
      <c r="BD53" s="158"/>
      <c r="BE53" s="158"/>
      <c r="BF53" s="158"/>
      <c r="BG53" s="158"/>
      <c r="BH53" s="158"/>
      <c r="BI53" s="158"/>
      <c r="BJ53" s="158"/>
    </row>
    <row r="54" spans="2:62" ht="12.75">
      <c r="B54" s="166" t="s">
        <v>49</v>
      </c>
      <c r="C54" s="167">
        <f>MIN(BJ19,F25+C51)</f>
        <v>4.84</v>
      </c>
      <c r="BC54" s="158"/>
      <c r="BD54" s="158"/>
      <c r="BE54" s="158"/>
      <c r="BF54" s="158"/>
      <c r="BG54" s="158"/>
      <c r="BH54" s="158"/>
      <c r="BI54" s="158"/>
      <c r="BJ54" s="158"/>
    </row>
    <row r="55" spans="2:62" ht="12.75">
      <c r="B55" s="168"/>
      <c r="C55" s="169"/>
      <c r="BC55" s="158"/>
      <c r="BD55" s="158"/>
      <c r="BE55" s="158"/>
      <c r="BF55" s="158"/>
      <c r="BG55" s="158"/>
      <c r="BH55" s="158"/>
      <c r="BI55" s="158"/>
      <c r="BJ55" s="158"/>
    </row>
    <row r="56" spans="55:62" ht="12.75">
      <c r="BC56" s="158"/>
      <c r="BD56" s="158"/>
      <c r="BE56" s="158"/>
      <c r="BF56" s="158"/>
      <c r="BG56" s="158"/>
      <c r="BH56" s="158"/>
      <c r="BI56" s="158"/>
      <c r="BJ56" s="158"/>
    </row>
    <row r="57" spans="2:62" ht="12.75">
      <c r="B57" s="227" t="s">
        <v>50</v>
      </c>
      <c r="C57" s="227"/>
      <c r="BC57" s="158"/>
      <c r="BD57" s="158"/>
      <c r="BE57" s="158"/>
      <c r="BF57" s="158"/>
      <c r="BG57" s="158"/>
      <c r="BH57" s="158"/>
      <c r="BI57" s="158"/>
      <c r="BJ57" s="158"/>
    </row>
    <row r="58" spans="2:62" ht="15.75">
      <c r="B58" s="235">
        <f>C54*B48</f>
        <v>5243.333333333333</v>
      </c>
      <c r="C58" s="235"/>
      <c r="D58" s="170"/>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BC58" s="158"/>
      <c r="BD58" s="158"/>
      <c r="BE58" s="158"/>
      <c r="BF58" s="158"/>
      <c r="BG58" s="158"/>
      <c r="BH58" s="158"/>
      <c r="BI58" s="158"/>
      <c r="BJ58" s="158"/>
    </row>
    <row r="59" spans="55:62" ht="12.75">
      <c r="BC59" s="158"/>
      <c r="BD59" s="158"/>
      <c r="BE59" s="158"/>
      <c r="BF59" s="158"/>
      <c r="BG59" s="158"/>
      <c r="BH59" s="158"/>
      <c r="BI59" s="158"/>
      <c r="BJ59" s="158"/>
    </row>
    <row r="60" spans="2:62" ht="12.75">
      <c r="B60" s="234" t="s">
        <v>51</v>
      </c>
      <c r="C60" s="234"/>
      <c r="D60" s="234"/>
      <c r="E60" s="234"/>
      <c r="F60" s="234"/>
      <c r="G60" s="234"/>
      <c r="H60" s="206"/>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BC60" s="158"/>
      <c r="BD60" s="158"/>
      <c r="BE60" s="158"/>
      <c r="BF60" s="158"/>
      <c r="BG60" s="158"/>
      <c r="BH60" s="158"/>
      <c r="BI60" s="158"/>
      <c r="BJ60" s="158"/>
    </row>
    <row r="61" spans="2:62" ht="12.75">
      <c r="B61" s="234"/>
      <c r="C61" s="234"/>
      <c r="D61" s="234"/>
      <c r="E61" s="234"/>
      <c r="F61" s="234"/>
      <c r="G61" s="234"/>
      <c r="BC61" s="158"/>
      <c r="BD61" s="158"/>
      <c r="BE61" s="158"/>
      <c r="BF61" s="158"/>
      <c r="BG61" s="158"/>
      <c r="BH61" s="158"/>
      <c r="BI61" s="158"/>
      <c r="BJ61" s="158"/>
    </row>
    <row r="62" spans="2:62" ht="12.75">
      <c r="B62" s="234"/>
      <c r="C62" s="234"/>
      <c r="D62" s="234"/>
      <c r="E62" s="234"/>
      <c r="F62" s="234"/>
      <c r="G62" s="234"/>
      <c r="BC62" s="158"/>
      <c r="BD62" s="158"/>
      <c r="BE62" s="158"/>
      <c r="BF62" s="158"/>
      <c r="BG62" s="158"/>
      <c r="BH62" s="158"/>
      <c r="BI62" s="158"/>
      <c r="BJ62" s="158"/>
    </row>
    <row r="63" spans="2:62" ht="12.75">
      <c r="B63" s="234"/>
      <c r="C63" s="234"/>
      <c r="D63" s="234"/>
      <c r="E63" s="234"/>
      <c r="F63" s="234"/>
      <c r="G63" s="234"/>
      <c r="BC63" s="158"/>
      <c r="BD63" s="158"/>
      <c r="BE63" s="158"/>
      <c r="BF63" s="158"/>
      <c r="BG63" s="158"/>
      <c r="BH63" s="158"/>
      <c r="BI63" s="158"/>
      <c r="BJ63" s="158"/>
    </row>
    <row r="64" spans="55:62" ht="12.75">
      <c r="BC64" s="158"/>
      <c r="BD64" s="158"/>
      <c r="BE64" s="158"/>
      <c r="BF64" s="158"/>
      <c r="BG64" s="158"/>
      <c r="BH64" s="158"/>
      <c r="BI64" s="158"/>
      <c r="BJ64" s="158"/>
    </row>
    <row r="65" spans="55:62" ht="12.75">
      <c r="BC65" s="158"/>
      <c r="BD65" s="158"/>
      <c r="BE65" s="158"/>
      <c r="BF65" s="158"/>
      <c r="BG65" s="158"/>
      <c r="BH65" s="158"/>
      <c r="BI65" s="158"/>
      <c r="BJ65" s="158"/>
    </row>
    <row r="66" spans="55:62" ht="12.75">
      <c r="BC66" s="158"/>
      <c r="BD66" s="158"/>
      <c r="BE66" s="158"/>
      <c r="BF66" s="158"/>
      <c r="BG66" s="158"/>
      <c r="BH66" s="158"/>
      <c r="BI66" s="158"/>
      <c r="BJ66" s="158"/>
    </row>
    <row r="67" spans="55:62" ht="12.75">
      <c r="BC67" s="158"/>
      <c r="BD67" s="158"/>
      <c r="BE67" s="158"/>
      <c r="BF67" s="158"/>
      <c r="BG67" s="158"/>
      <c r="BH67" s="158"/>
      <c r="BI67" s="158"/>
      <c r="BJ67" s="158"/>
    </row>
    <row r="68" spans="55:62" ht="12.75">
      <c r="BC68" s="158"/>
      <c r="BD68" s="158"/>
      <c r="BE68" s="158"/>
      <c r="BF68" s="158"/>
      <c r="BG68" s="158"/>
      <c r="BH68" s="158"/>
      <c r="BI68" s="158"/>
      <c r="BJ68" s="158"/>
    </row>
    <row r="69" spans="55:62" ht="12.75">
      <c r="BC69" s="158"/>
      <c r="BD69" s="158"/>
      <c r="BE69" s="158"/>
      <c r="BF69" s="158"/>
      <c r="BG69" s="158"/>
      <c r="BH69" s="158"/>
      <c r="BI69" s="158"/>
      <c r="BJ69" s="158"/>
    </row>
    <row r="70" spans="55:62" ht="12.75">
      <c r="BC70" s="158"/>
      <c r="BD70" s="158"/>
      <c r="BE70" s="158"/>
      <c r="BF70" s="158"/>
      <c r="BG70" s="158"/>
      <c r="BH70" s="158"/>
      <c r="BI70" s="158"/>
      <c r="BJ70" s="158"/>
    </row>
    <row r="71" spans="55:62" ht="12.75">
      <c r="BC71" s="158"/>
      <c r="BD71" s="158"/>
      <c r="BE71" s="158"/>
      <c r="BF71" s="158"/>
      <c r="BG71" s="158"/>
      <c r="BH71" s="158"/>
      <c r="BI71" s="158"/>
      <c r="BJ71" s="158"/>
    </row>
  </sheetData>
  <sheetProtection password="D8BB" sheet="1" objects="1" scenarios="1" selectLockedCells="1"/>
  <mergeCells count="19">
    <mergeCell ref="B60:G63"/>
    <mergeCell ref="D6:E9"/>
    <mergeCell ref="B57:C57"/>
    <mergeCell ref="B58:C58"/>
    <mergeCell ref="B13:C13"/>
    <mergeCell ref="AS27:AV27"/>
    <mergeCell ref="B47:C47"/>
    <mergeCell ref="B48:C48"/>
    <mergeCell ref="B50:C50"/>
    <mergeCell ref="K28:K31"/>
    <mergeCell ref="BG13:BH13"/>
    <mergeCell ref="BG14:BH14"/>
    <mergeCell ref="B17:D17"/>
    <mergeCell ref="B2:G2"/>
    <mergeCell ref="B3:F3"/>
    <mergeCell ref="B11:C11"/>
    <mergeCell ref="F11:G11"/>
    <mergeCell ref="L3:Q9"/>
    <mergeCell ref="K11:Q26"/>
  </mergeCells>
  <conditionalFormatting sqref="B58:C58">
    <cfRule type="cellIs" priority="1" dxfId="0" operator="greaterThan" stopIfTrue="1">
      <formula>$B$48*20</formula>
    </cfRule>
  </conditionalFormatting>
  <conditionalFormatting sqref="D6:E9">
    <cfRule type="cellIs" priority="2" dxfId="1" operator="equal" stopIfTrue="1">
      <formula>"nom"</formula>
    </cfRule>
  </conditionalFormatting>
  <dataValidations count="1">
    <dataValidation type="list" allowBlank="1" showErrorMessage="1" sqref="D11">
      <formula1>$AS$16:$AS$20</formula1>
      <formula2>0</formula2>
    </dataValidation>
  </dataValidations>
  <hyperlinks>
    <hyperlink ref="AS3" r:id="rId1" display="Cartonnages IDCC 489.doc"/>
  </hyperlinks>
  <printOptions/>
  <pageMargins left="0.2361111111111111" right="0.2361111111111111" top="0.19652777777777777" bottom="0.19652777777777777" header="0.5118055555555555" footer="0.5118055555555555"/>
  <pageSetup horizontalDpi="300" verticalDpi="300" orientation="portrait" paperSize="9" r:id="rId5"/>
  <drawing r:id="rId4"/>
  <legacyDrawing r:id="rId3"/>
  <oleObjects>
    <oleObject progId="Document" dvAspect="DVASPECT_ICON" shapeId="475783" r:id="rId2"/>
  </oleObjects>
</worksheet>
</file>

<file path=xl/worksheets/sheet2.xml><?xml version="1.0" encoding="utf-8"?>
<worksheet xmlns="http://schemas.openxmlformats.org/spreadsheetml/2006/main" xmlns:r="http://schemas.openxmlformats.org/officeDocument/2006/relationships">
  <sheetPr>
    <tabColor indexed="10"/>
  </sheetPr>
  <dimension ref="B1:BN71"/>
  <sheetViews>
    <sheetView showGridLines="0" workbookViewId="0" topLeftCell="A1">
      <selection activeCell="D6" sqref="D6:E9"/>
    </sheetView>
  </sheetViews>
  <sheetFormatPr defaultColWidth="11.421875" defaultRowHeight="12.75"/>
  <cols>
    <col min="1" max="1" width="1.28515625" style="0" customWidth="1"/>
    <col min="2" max="2" width="19.421875" style="0" customWidth="1"/>
    <col min="3" max="3" width="10.140625" style="0" customWidth="1"/>
    <col min="4" max="4" width="42.7109375" style="0" bestFit="1" customWidth="1"/>
    <col min="5" max="5" width="3.28125" style="0" customWidth="1"/>
    <col min="6" max="6" width="10.421875" style="0" customWidth="1"/>
    <col min="7" max="7" width="6.421875" style="0" customWidth="1"/>
    <col min="8" max="8" width="1.7109375" style="0" customWidth="1"/>
    <col min="9" max="10" width="6.00390625" style="0" customWidth="1"/>
    <col min="11" max="11" width="21.28125" style="0" customWidth="1"/>
    <col min="12" max="43" width="6.00390625" style="0" customWidth="1"/>
    <col min="44" max="44" width="1.7109375" style="0" customWidth="1"/>
    <col min="45" max="45" width="20.8515625" style="0" customWidth="1"/>
    <col min="46" max="46" width="9.8515625" style="0" customWidth="1"/>
    <col min="47" max="47" width="11.57421875" style="0" customWidth="1"/>
    <col min="48" max="48" width="11.8515625" style="0" customWidth="1"/>
    <col min="49" max="49" width="11.28125" style="0" customWidth="1"/>
    <col min="50" max="50" width="14.57421875" style="0" customWidth="1"/>
    <col min="51" max="51" width="15.00390625" style="0" customWidth="1"/>
    <col min="52" max="52" width="15.57421875" style="0" customWidth="1"/>
    <col min="53" max="53" width="10.421875" style="0" customWidth="1"/>
    <col min="54" max="54" width="6.421875" style="0" customWidth="1"/>
    <col min="55" max="55" width="13.7109375" style="0" customWidth="1"/>
    <col min="56" max="56" width="12.8515625" style="0" customWidth="1"/>
    <col min="57" max="57" width="13.57421875" style="0" customWidth="1"/>
    <col min="58" max="58" width="18.421875" style="0" customWidth="1"/>
    <col min="59" max="60" width="14.28125" style="1" customWidth="1"/>
    <col min="61" max="61" width="15.421875" style="1" customWidth="1"/>
    <col min="62" max="62" width="11.421875" style="1" customWidth="1"/>
    <col min="63" max="63" width="11.00390625" style="2" customWidth="1"/>
  </cols>
  <sheetData>
    <row r="1" spans="45:63" ht="12.75" customHeight="1">
      <c r="AS1" s="3" t="s">
        <v>0</v>
      </c>
      <c r="AT1" s="4"/>
      <c r="AU1" s="4"/>
      <c r="AV1" s="4"/>
      <c r="AW1" s="4"/>
      <c r="AX1" s="4"/>
      <c r="AY1" s="4"/>
      <c r="AZ1" s="4"/>
      <c r="BA1" s="4"/>
      <c r="BB1" s="4"/>
      <c r="BC1" s="5" t="s">
        <v>1</v>
      </c>
      <c r="BD1" s="1"/>
      <c r="BE1" s="1"/>
      <c r="BF1" s="1"/>
      <c r="BK1" s="6"/>
    </row>
    <row r="2" spans="2:63" s="7" customFormat="1" ht="18">
      <c r="B2" s="221" t="s">
        <v>2</v>
      </c>
      <c r="C2" s="221"/>
      <c r="D2" s="221"/>
      <c r="E2" s="221"/>
      <c r="F2" s="221"/>
      <c r="G2" s="221"/>
      <c r="J2"/>
      <c r="K2" s="202"/>
      <c r="L2" s="202"/>
      <c r="M2" s="202"/>
      <c r="N2" s="202"/>
      <c r="O2" s="202"/>
      <c r="P2" s="202"/>
      <c r="Q2" s="202"/>
      <c r="R2"/>
      <c r="S2"/>
      <c r="T2"/>
      <c r="U2"/>
      <c r="V2"/>
      <c r="W2"/>
      <c r="X2"/>
      <c r="Y2"/>
      <c r="Z2"/>
      <c r="AA2"/>
      <c r="AB2"/>
      <c r="AC2"/>
      <c r="AD2"/>
      <c r="AE2"/>
      <c r="AF2"/>
      <c r="AG2"/>
      <c r="AH2"/>
      <c r="AI2"/>
      <c r="AJ2"/>
      <c r="AK2"/>
      <c r="AL2"/>
      <c r="AM2"/>
      <c r="AN2"/>
      <c r="AO2"/>
      <c r="AP2"/>
      <c r="AQ2"/>
      <c r="AS2" s="8"/>
      <c r="AT2" s="8"/>
      <c r="AU2" s="8"/>
      <c r="AV2" s="8"/>
      <c r="AW2" s="8"/>
      <c r="AX2" s="8"/>
      <c r="AY2" s="8"/>
      <c r="AZ2" s="8"/>
      <c r="BA2" s="8"/>
      <c r="BB2" s="8"/>
      <c r="BC2" s="9"/>
      <c r="BD2" s="9"/>
      <c r="BE2" s="9"/>
      <c r="BF2" s="9"/>
      <c r="BG2" s="9"/>
      <c r="BH2" s="9"/>
      <c r="BI2" s="9"/>
      <c r="BJ2" s="10"/>
      <c r="BK2" s="6"/>
    </row>
    <row r="3" spans="2:63" s="7" customFormat="1" ht="14.25" customHeight="1">
      <c r="B3" s="222" t="s">
        <v>29</v>
      </c>
      <c r="C3" s="222"/>
      <c r="D3" s="222"/>
      <c r="E3" s="222"/>
      <c r="F3" s="222"/>
      <c r="J3"/>
      <c r="K3" s="202"/>
      <c r="L3" s="223" t="s">
        <v>62</v>
      </c>
      <c r="M3" s="223"/>
      <c r="N3" s="223"/>
      <c r="O3" s="223"/>
      <c r="P3" s="223"/>
      <c r="Q3" s="223"/>
      <c r="R3"/>
      <c r="S3"/>
      <c r="T3"/>
      <c r="U3"/>
      <c r="V3"/>
      <c r="W3"/>
      <c r="X3"/>
      <c r="Y3"/>
      <c r="Z3"/>
      <c r="AA3"/>
      <c r="AB3"/>
      <c r="AC3"/>
      <c r="AD3"/>
      <c r="AE3"/>
      <c r="AF3"/>
      <c r="AG3"/>
      <c r="AH3"/>
      <c r="AI3"/>
      <c r="AJ3"/>
      <c r="AK3"/>
      <c r="AL3"/>
      <c r="AM3"/>
      <c r="AN3"/>
      <c r="AO3"/>
      <c r="AP3"/>
      <c r="AQ3"/>
      <c r="AS3"/>
      <c r="AT3" s="8"/>
      <c r="AU3" s="8"/>
      <c r="AV3" s="8"/>
      <c r="AW3" s="8"/>
      <c r="AX3" s="8"/>
      <c r="AY3" s="8"/>
      <c r="AZ3" s="8"/>
      <c r="BA3" s="8"/>
      <c r="BB3" s="8"/>
      <c r="BC3" s="9"/>
      <c r="BD3" s="9"/>
      <c r="BE3" s="9"/>
      <c r="BF3" s="9"/>
      <c r="BG3" s="9"/>
      <c r="BH3" s="9"/>
      <c r="BI3" s="12">
        <v>1</v>
      </c>
      <c r="BJ3" s="6" t="s">
        <v>3</v>
      </c>
      <c r="BK3" s="6" t="str">
        <f>LOOKUP(MONTH(BD5)-1+IF(MONTH(BD5)-1&gt;0,0,12),BI3:BI14,BJ3:BJ14)</f>
        <v>avril</v>
      </c>
    </row>
    <row r="4" spans="11:66" ht="12.75" customHeight="1">
      <c r="K4" s="202"/>
      <c r="L4" s="223"/>
      <c r="M4" s="223"/>
      <c r="N4" s="223"/>
      <c r="O4" s="223"/>
      <c r="P4" s="223"/>
      <c r="Q4" s="223"/>
      <c r="AS4" s="4"/>
      <c r="AT4" s="4"/>
      <c r="AU4" s="4"/>
      <c r="AV4" s="4"/>
      <c r="AW4" s="4"/>
      <c r="AX4" s="4"/>
      <c r="AY4" s="4"/>
      <c r="AZ4" s="4"/>
      <c r="BA4" s="4"/>
      <c r="BB4" s="4"/>
      <c r="BC4" s="1"/>
      <c r="BD4" s="1"/>
      <c r="BE4" s="1"/>
      <c r="BF4" s="1"/>
      <c r="BI4" s="12">
        <v>2</v>
      </c>
      <c r="BJ4" s="6" t="s">
        <v>4</v>
      </c>
      <c r="BK4" s="6" t="str">
        <f>LOOKUP(MONTH(BD5)-2+IF(MONTH(BD5)-2&gt;0,0,12),BI3:BI14,BJ3:BJ14)</f>
        <v>mars</v>
      </c>
      <c r="BN4" s="13"/>
    </row>
    <row r="5" spans="4:63" ht="12.75" customHeight="1">
      <c r="D5" s="238"/>
      <c r="K5" s="202"/>
      <c r="L5" s="223"/>
      <c r="M5" s="223"/>
      <c r="N5" s="223"/>
      <c r="O5" s="223"/>
      <c r="P5" s="223"/>
      <c r="Q5" s="223"/>
      <c r="AS5" s="15"/>
      <c r="AT5" s="4"/>
      <c r="AU5" s="4"/>
      <c r="AV5" s="4"/>
      <c r="AW5" s="4"/>
      <c r="AX5" s="4"/>
      <c r="AY5" s="4"/>
      <c r="AZ5" s="4"/>
      <c r="BA5" s="4"/>
      <c r="BB5" s="4"/>
      <c r="BC5" s="16" t="s">
        <v>5</v>
      </c>
      <c r="BD5" s="16">
        <f ca="1">TODAY()</f>
        <v>41418</v>
      </c>
      <c r="BE5" s="1"/>
      <c r="BF5" s="1"/>
      <c r="BI5" s="12">
        <v>3</v>
      </c>
      <c r="BJ5" s="6" t="s">
        <v>6</v>
      </c>
      <c r="BK5" s="6" t="str">
        <f>LOOKUP(MONTH(BD5)-3+IF(MONTH(BD5)-3&gt;0,0,12),BI3:BI14,BJ3:BJ14)</f>
        <v>février</v>
      </c>
    </row>
    <row r="6" spans="2:63" ht="12.75" customHeight="1">
      <c r="B6" s="17" t="s">
        <v>7</v>
      </c>
      <c r="C6" s="237">
        <f>'Carton IDCC 489'!C6</f>
        <v>22007</v>
      </c>
      <c r="D6" s="210" t="str">
        <f>'Carton IDCC 489'!D6:E9</f>
        <v>Nom</v>
      </c>
      <c r="E6" s="211"/>
      <c r="F6" s="174"/>
      <c r="G6" s="73"/>
      <c r="K6" s="202"/>
      <c r="L6" s="223"/>
      <c r="M6" s="223"/>
      <c r="N6" s="223"/>
      <c r="O6" s="223"/>
      <c r="P6" s="223"/>
      <c r="Q6" s="223"/>
      <c r="AS6" s="15"/>
      <c r="AT6" s="4"/>
      <c r="AU6" s="4"/>
      <c r="AV6" s="4"/>
      <c r="AW6" s="4"/>
      <c r="AX6" s="4"/>
      <c r="AY6" s="4"/>
      <c r="AZ6" s="4"/>
      <c r="BA6" s="4"/>
      <c r="BB6" s="4"/>
      <c r="BC6" s="19" t="s">
        <v>8</v>
      </c>
      <c r="BD6" s="20">
        <f>(BD5-C6)/365</f>
        <v>53.18082191780822</v>
      </c>
      <c r="BE6" s="1"/>
      <c r="BF6" s="1"/>
      <c r="BI6" s="12">
        <v>4</v>
      </c>
      <c r="BJ6" s="6" t="s">
        <v>9</v>
      </c>
      <c r="BK6" s="6" t="str">
        <f>LOOKUP(MONTH(BD5)-4+IF(MONTH(BD5)-4&gt;0,0,12),BI3:BI14,BJ3:BJ14)</f>
        <v>janvier</v>
      </c>
    </row>
    <row r="7" spans="3:63" ht="12.75" customHeight="1">
      <c r="C7" s="14"/>
      <c r="D7" s="211"/>
      <c r="E7" s="211"/>
      <c r="F7" s="175"/>
      <c r="G7" s="22"/>
      <c r="K7" s="202"/>
      <c r="L7" s="223"/>
      <c r="M7" s="223"/>
      <c r="N7" s="223"/>
      <c r="O7" s="223"/>
      <c r="P7" s="223"/>
      <c r="Q7" s="223"/>
      <c r="AS7" s="15"/>
      <c r="AT7" s="4"/>
      <c r="AU7" s="4"/>
      <c r="AV7" s="4"/>
      <c r="AW7" s="4"/>
      <c r="AX7" s="4"/>
      <c r="AY7" s="4"/>
      <c r="AZ7" s="4"/>
      <c r="BA7" s="4"/>
      <c r="BB7" s="4"/>
      <c r="BC7" s="1"/>
      <c r="BD7" s="1"/>
      <c r="BE7" s="1"/>
      <c r="BF7" s="1"/>
      <c r="BI7" s="12">
        <v>5</v>
      </c>
      <c r="BJ7" s="6" t="s">
        <v>10</v>
      </c>
      <c r="BK7" s="6" t="str">
        <f>LOOKUP(MONTH(BD5)-5+IF(MONTH(BD5)-5&gt;0,0,12),BI3:BI14,BJ3:BJ14)</f>
        <v>décembre</v>
      </c>
    </row>
    <row r="8" spans="2:63" ht="12.75" customHeight="1">
      <c r="B8" s="17" t="s">
        <v>11</v>
      </c>
      <c r="C8" s="237">
        <f>'Carton IDCC 489'!C8</f>
        <v>29312</v>
      </c>
      <c r="D8" s="211"/>
      <c r="E8" s="211"/>
      <c r="K8" s="202"/>
      <c r="L8" s="223"/>
      <c r="M8" s="223"/>
      <c r="N8" s="223"/>
      <c r="O8" s="223"/>
      <c r="P8" s="223"/>
      <c r="Q8" s="223"/>
      <c r="AS8" s="15"/>
      <c r="AT8" s="4"/>
      <c r="AU8" s="4"/>
      <c r="AV8" s="4"/>
      <c r="AW8" s="4"/>
      <c r="AX8" s="4"/>
      <c r="AY8" s="4"/>
      <c r="AZ8" s="4"/>
      <c r="BA8" s="4"/>
      <c r="BB8" s="4"/>
      <c r="BC8" s="1"/>
      <c r="BD8" s="23" t="s">
        <v>12</v>
      </c>
      <c r="BE8" s="23" t="s">
        <v>13</v>
      </c>
      <c r="BF8" s="23" t="s">
        <v>14</v>
      </c>
      <c r="BI8" s="12">
        <v>6</v>
      </c>
      <c r="BJ8" s="6" t="s">
        <v>15</v>
      </c>
      <c r="BK8" s="6" t="str">
        <f>LOOKUP(MONTH(BD5)-6+IF(MONTH(BD5)-6&gt;0,0,12),BI3:BI14,BJ3:BJ14)</f>
        <v>novembre</v>
      </c>
    </row>
    <row r="9" spans="2:63" ht="12.75" customHeight="1">
      <c r="B9" s="17" t="s">
        <v>16</v>
      </c>
      <c r="C9" s="237">
        <f>'Carton IDCC 489'!C9</f>
        <v>41365</v>
      </c>
      <c r="D9" s="211"/>
      <c r="E9" s="211"/>
      <c r="K9" s="202"/>
      <c r="L9" s="223"/>
      <c r="M9" s="223"/>
      <c r="N9" s="223"/>
      <c r="O9" s="223"/>
      <c r="P9" s="223"/>
      <c r="Q9" s="223"/>
      <c r="AS9" s="15"/>
      <c r="AT9" s="4"/>
      <c r="AU9" s="4"/>
      <c r="AV9" s="4"/>
      <c r="AW9" s="4"/>
      <c r="AX9" s="4"/>
      <c r="AY9" s="4"/>
      <c r="AZ9" s="4"/>
      <c r="BA9" s="4"/>
      <c r="BB9" s="4"/>
      <c r="BC9" s="1" t="s">
        <v>17</v>
      </c>
      <c r="BD9" s="1">
        <f>DAY(C8)</f>
        <v>1</v>
      </c>
      <c r="BE9" s="1">
        <f>MONTH(C8)</f>
        <v>4</v>
      </c>
      <c r="BF9" s="1">
        <f>YEAR(C8)</f>
        <v>1980</v>
      </c>
      <c r="BI9" s="12">
        <v>7</v>
      </c>
      <c r="BJ9" s="6" t="s">
        <v>18</v>
      </c>
      <c r="BK9" s="6" t="str">
        <f>LOOKUP(MONTH(BD5)-7+IF(MONTH(BD5)-7&gt;0,0,12),BI3:BI14,BJ3:BJ14)</f>
        <v>octobre</v>
      </c>
    </row>
    <row r="10" spans="11:63" ht="12.75">
      <c r="K10" s="202"/>
      <c r="L10" s="202"/>
      <c r="M10" s="202"/>
      <c r="N10" s="202"/>
      <c r="O10" s="202"/>
      <c r="P10" s="202"/>
      <c r="Q10" s="202"/>
      <c r="AS10" s="4"/>
      <c r="AT10" s="4"/>
      <c r="AU10" s="4"/>
      <c r="AV10" s="4"/>
      <c r="AW10" s="4"/>
      <c r="AX10" s="4"/>
      <c r="AY10" s="4"/>
      <c r="AZ10" s="4"/>
      <c r="BA10" s="4"/>
      <c r="BB10" s="4"/>
      <c r="BC10" s="1" t="s">
        <v>19</v>
      </c>
      <c r="BD10" s="1">
        <f>DAY(C9)</f>
        <v>1</v>
      </c>
      <c r="BE10" s="1">
        <f>MONTH(C9)</f>
        <v>4</v>
      </c>
      <c r="BF10" s="1">
        <f>YEAR(C9)</f>
        <v>2013</v>
      </c>
      <c r="BI10" s="12">
        <v>8</v>
      </c>
      <c r="BJ10" s="6" t="s">
        <v>20</v>
      </c>
      <c r="BK10" s="6" t="str">
        <f>LOOKUP(MONTH(BD5)-8+IF(MONTH(BD5)-8&gt;0,0,12),BI3:BI14,BJ3:BJ14)</f>
        <v>septembre</v>
      </c>
    </row>
    <row r="11" spans="2:63" ht="12.75" customHeight="1">
      <c r="B11" s="212" t="s">
        <v>21</v>
      </c>
      <c r="C11" s="212"/>
      <c r="D11" s="99" t="s">
        <v>44</v>
      </c>
      <c r="F11" s="212" t="s">
        <v>23</v>
      </c>
      <c r="G11" s="212"/>
      <c r="K11" s="224" t="s">
        <v>65</v>
      </c>
      <c r="L11" s="224"/>
      <c r="M11" s="224"/>
      <c r="N11" s="224"/>
      <c r="O11" s="224"/>
      <c r="P11" s="224"/>
      <c r="Q11" s="224"/>
      <c r="AS11" s="4"/>
      <c r="AT11" s="24" t="s">
        <v>24</v>
      </c>
      <c r="AU11" s="4"/>
      <c r="AV11" s="25" t="s">
        <v>25</v>
      </c>
      <c r="AW11" s="25" t="s">
        <v>26</v>
      </c>
      <c r="AX11" s="4"/>
      <c r="AY11" s="4"/>
      <c r="AZ11" s="4"/>
      <c r="BA11" s="4"/>
      <c r="BB11" s="4"/>
      <c r="BC11" s="1"/>
      <c r="BD11" s="26">
        <f>BD10-BD9</f>
        <v>0</v>
      </c>
      <c r="BE11" s="26">
        <f>BE10-BE9</f>
        <v>0</v>
      </c>
      <c r="BF11" s="26">
        <f>BF10-BF9</f>
        <v>33</v>
      </c>
      <c r="BI11" s="12">
        <v>9</v>
      </c>
      <c r="BJ11" s="6" t="s">
        <v>27</v>
      </c>
      <c r="BK11" s="6" t="str">
        <f>LOOKUP(MONTH(BD5)-9+IF(MONTH(BD5)-9&gt;0,0,12),BI3:BI14,BJ3:BJ14)</f>
        <v>août</v>
      </c>
    </row>
    <row r="12" spans="2:63" ht="12.75" customHeight="1">
      <c r="B12" s="27">
        <f>MIN(B14,BI19)</f>
        <v>33</v>
      </c>
      <c r="C12" s="28" t="str">
        <f>IF(B12&gt;1,"années","année")</f>
        <v>années</v>
      </c>
      <c r="F12" s="29">
        <f>BF11</f>
        <v>33</v>
      </c>
      <c r="G12" s="30" t="s">
        <v>28</v>
      </c>
      <c r="K12" s="224"/>
      <c r="L12" s="224"/>
      <c r="M12" s="224"/>
      <c r="N12" s="224"/>
      <c r="O12" s="224"/>
      <c r="P12" s="224"/>
      <c r="Q12" s="224"/>
      <c r="AS12" s="31" t="s">
        <v>29</v>
      </c>
      <c r="AT12" s="32">
        <v>1</v>
      </c>
      <c r="AU12" s="24" t="s">
        <v>13</v>
      </c>
      <c r="AV12" s="33">
        <v>0.2</v>
      </c>
      <c r="AW12" s="193">
        <f>2/15</f>
        <v>0.13333333333333333</v>
      </c>
      <c r="AX12" s="4"/>
      <c r="AY12" s="4"/>
      <c r="AZ12" s="4"/>
      <c r="BA12" s="4"/>
      <c r="BB12" s="4"/>
      <c r="BC12" s="1" t="s">
        <v>30</v>
      </c>
      <c r="BD12" s="1"/>
      <c r="BE12" s="1"/>
      <c r="BF12" s="1"/>
      <c r="BI12" s="12">
        <v>10</v>
      </c>
      <c r="BJ12" s="6" t="s">
        <v>31</v>
      </c>
      <c r="BK12" s="6" t="str">
        <f>LOOKUP(MONTH(BD5)-10+IF(MONTH(BD5)-10&gt;0,0,12),BI3:BI14,BJ3:BJ14)</f>
        <v>juillet</v>
      </c>
    </row>
    <row r="13" spans="2:63" ht="12.75" customHeight="1">
      <c r="B13" s="214" t="s">
        <v>32</v>
      </c>
      <c r="C13" s="214"/>
      <c r="F13" s="29">
        <f>BE11</f>
        <v>0</v>
      </c>
      <c r="G13" s="30" t="s">
        <v>13</v>
      </c>
      <c r="K13" s="224"/>
      <c r="L13" s="224"/>
      <c r="M13" s="224"/>
      <c r="N13" s="224"/>
      <c r="O13" s="224"/>
      <c r="P13" s="224"/>
      <c r="Q13" s="224"/>
      <c r="AS13" s="34"/>
      <c r="AT13" s="35"/>
      <c r="AU13" s="4"/>
      <c r="AV13" s="4"/>
      <c r="AW13" s="4"/>
      <c r="AX13" s="4"/>
      <c r="AY13" s="4"/>
      <c r="AZ13" s="4"/>
      <c r="BA13" s="4"/>
      <c r="BB13" s="4"/>
      <c r="BC13" s="1" t="s">
        <v>34</v>
      </c>
      <c r="BD13" s="36">
        <f>BD11/365</f>
        <v>0</v>
      </c>
      <c r="BE13" s="36">
        <f>F13/12</f>
        <v>0</v>
      </c>
      <c r="BF13" s="36">
        <f>BF11</f>
        <v>33</v>
      </c>
      <c r="BG13" s="219" t="s">
        <v>29</v>
      </c>
      <c r="BH13" s="219"/>
      <c r="BI13" s="12">
        <v>11</v>
      </c>
      <c r="BJ13" s="6" t="s">
        <v>35</v>
      </c>
      <c r="BK13" s="6" t="str">
        <f>LOOKUP(MONTH(BD5)-11+IF(MONTH(BD5)-11&gt;0,0,12),BI3:BI14,BJ3:BJ14)</f>
        <v>juin</v>
      </c>
    </row>
    <row r="14" spans="2:63" ht="12.75" customHeight="1">
      <c r="B14" s="37">
        <f>BD14</f>
        <v>33</v>
      </c>
      <c r="C14" s="28" t="str">
        <f>IF(B14&gt;1,"années","année")</f>
        <v>années</v>
      </c>
      <c r="F14" s="29">
        <f>BD11</f>
        <v>0</v>
      </c>
      <c r="G14" s="30" t="s">
        <v>36</v>
      </c>
      <c r="K14" s="224"/>
      <c r="L14" s="224"/>
      <c r="M14" s="224"/>
      <c r="N14" s="224"/>
      <c r="O14" s="224"/>
      <c r="P14" s="224"/>
      <c r="Q14" s="224"/>
      <c r="AS14" s="38"/>
      <c r="AT14" s="39" t="str">
        <f>CONCATENATE("De 1 à ",AT15," ans")</f>
        <v>De 1 à 10 ans</v>
      </c>
      <c r="AU14" s="39" t="s">
        <v>58</v>
      </c>
      <c r="AV14" s="39"/>
      <c r="AW14" s="40"/>
      <c r="AX14" s="39"/>
      <c r="AY14" s="39"/>
      <c r="AZ14" s="39" t="s">
        <v>54</v>
      </c>
      <c r="BA14" s="41" t="s">
        <v>37</v>
      </c>
      <c r="BB14" s="63"/>
      <c r="BC14" s="42" t="s">
        <v>38</v>
      </c>
      <c r="BD14" s="43">
        <f>IF(AS14="par année complète",INT(BD13+BE13+BF13),BD13+BE13+BF13)</f>
        <v>33</v>
      </c>
      <c r="BE14" s="1"/>
      <c r="BF14" s="44">
        <f>IF(OR(B12&gt;AT13,B12=AT13),"",IF(B12&gt;AT12,AS12,"Aucun droit"))</f>
      </c>
      <c r="BG14" s="220">
        <f>IF((B12&gt;AT12),ROUND(B12*AV12+MAX(B14-10,0)*AW12,2),0)</f>
        <v>9.67</v>
      </c>
      <c r="BH14" s="220"/>
      <c r="BI14" s="12">
        <v>12</v>
      </c>
      <c r="BJ14" s="6" t="s">
        <v>39</v>
      </c>
      <c r="BK14" s="6" t="str">
        <f>LOOKUP(MONTH(BD5)-12+IF(MONTH(BD5)-12&gt;0,0,12),BI3:BI14,BJ3:BJ14)</f>
        <v>mai</v>
      </c>
    </row>
    <row r="15" spans="11:63" ht="13.5" customHeight="1">
      <c r="K15" s="224"/>
      <c r="L15" s="224"/>
      <c r="M15" s="224"/>
      <c r="N15" s="224"/>
      <c r="O15" s="224"/>
      <c r="P15" s="224"/>
      <c r="Q15" s="224"/>
      <c r="AS15" s="45" t="s">
        <v>13</v>
      </c>
      <c r="AT15" s="46">
        <v>10</v>
      </c>
      <c r="AU15" s="46">
        <v>1000</v>
      </c>
      <c r="AV15" s="46">
        <v>1000</v>
      </c>
      <c r="AW15" s="46">
        <v>1000</v>
      </c>
      <c r="AX15" s="46">
        <v>1000</v>
      </c>
      <c r="AY15" s="46">
        <v>1000</v>
      </c>
      <c r="AZ15" s="46"/>
      <c r="BA15" s="172"/>
      <c r="BB15" s="191"/>
      <c r="BC15" s="48"/>
      <c r="BD15" s="42"/>
      <c r="BE15" s="42"/>
      <c r="BF15" s="42"/>
      <c r="BG15" s="48"/>
      <c r="BH15" s="48"/>
      <c r="BK15" s="6"/>
    </row>
    <row r="16" spans="11:63" ht="13.5" customHeight="1">
      <c r="K16" s="224"/>
      <c r="L16" s="224"/>
      <c r="M16" s="224"/>
      <c r="N16" s="224"/>
      <c r="O16" s="224"/>
      <c r="P16" s="224"/>
      <c r="Q16" s="224"/>
      <c r="AS16" s="49" t="s">
        <v>55</v>
      </c>
      <c r="AT16" s="177">
        <f>AV12</f>
        <v>0.2</v>
      </c>
      <c r="AU16" s="194">
        <f>AW12+AV12</f>
        <v>0.33333333333333337</v>
      </c>
      <c r="AV16" s="178"/>
      <c r="AW16" s="178"/>
      <c r="AX16" s="178"/>
      <c r="AY16" s="178"/>
      <c r="AZ16" s="178" t="s">
        <v>40</v>
      </c>
      <c r="BA16" s="195"/>
      <c r="BB16" s="191"/>
      <c r="BC16" s="48"/>
      <c r="BD16" s="42"/>
      <c r="BE16" s="42"/>
      <c r="BF16" s="42"/>
      <c r="BG16" s="48"/>
      <c r="BH16" s="48"/>
      <c r="BK16" s="6"/>
    </row>
    <row r="17" spans="2:63" ht="12.75" customHeight="1">
      <c r="B17" s="212" t="s">
        <v>41</v>
      </c>
      <c r="C17" s="212"/>
      <c r="D17" s="212"/>
      <c r="F17" s="51" t="s">
        <v>42</v>
      </c>
      <c r="K17" s="224"/>
      <c r="L17" s="224"/>
      <c r="M17" s="224"/>
      <c r="N17" s="224"/>
      <c r="O17" s="224"/>
      <c r="P17" s="224"/>
      <c r="Q17" s="224"/>
      <c r="AS17" s="49" t="s">
        <v>22</v>
      </c>
      <c r="AT17" s="179">
        <f>AV12</f>
        <v>0.2</v>
      </c>
      <c r="AU17" s="50">
        <f>AW12+AV12</f>
        <v>0.33333333333333337</v>
      </c>
      <c r="AV17" s="47"/>
      <c r="AW17" s="47"/>
      <c r="AX17" s="47"/>
      <c r="AY17" s="47"/>
      <c r="AZ17" s="47" t="s">
        <v>40</v>
      </c>
      <c r="BA17" s="189"/>
      <c r="BB17" s="191"/>
      <c r="BC17" s="52" t="str">
        <f>D11</f>
        <v>Ouvrier</v>
      </c>
      <c r="BD17" s="53"/>
      <c r="BE17" s="53"/>
      <c r="BF17" s="53"/>
      <c r="BG17" s="53"/>
      <c r="BH17" s="54"/>
      <c r="BK17" s="6"/>
    </row>
    <row r="18" spans="2:63" ht="12.75" customHeight="1">
      <c r="B18" s="55"/>
      <c r="C18" s="56"/>
      <c r="D18" s="17"/>
      <c r="F18" s="57"/>
      <c r="K18" s="224"/>
      <c r="L18" s="224"/>
      <c r="M18" s="224"/>
      <c r="N18" s="224"/>
      <c r="O18" s="224"/>
      <c r="P18" s="224"/>
      <c r="Q18" s="224"/>
      <c r="AS18" s="49" t="s">
        <v>56</v>
      </c>
      <c r="AT18" s="179">
        <f>AV12</f>
        <v>0.2</v>
      </c>
      <c r="AU18" s="50">
        <f>AW12+AV12</f>
        <v>0.33333333333333337</v>
      </c>
      <c r="AV18" s="47"/>
      <c r="AW18" s="47"/>
      <c r="AX18" s="47"/>
      <c r="AY18" s="47"/>
      <c r="AZ18" s="47" t="s">
        <v>40</v>
      </c>
      <c r="BA18" s="189"/>
      <c r="BB18" s="192"/>
      <c r="BC18" s="26" t="str">
        <f aca="true" t="shared" si="0" ref="BC18:BJ18">AT14</f>
        <v>De 1 à 10 ans</v>
      </c>
      <c r="BD18" s="26" t="str">
        <f t="shared" si="0"/>
        <v>au delà de 10 ans</v>
      </c>
      <c r="BE18" s="26">
        <f t="shared" si="0"/>
        <v>0</v>
      </c>
      <c r="BF18" s="26">
        <f t="shared" si="0"/>
        <v>0</v>
      </c>
      <c r="BG18" s="26">
        <f t="shared" si="0"/>
        <v>0</v>
      </c>
      <c r="BH18" s="26">
        <f t="shared" si="0"/>
        <v>0</v>
      </c>
      <c r="BI18" s="26" t="str">
        <f t="shared" si="0"/>
        <v>Limite ancienneté</v>
      </c>
      <c r="BJ18" s="26" t="str">
        <f t="shared" si="0"/>
        <v>Plafond</v>
      </c>
      <c r="BK18" s="6"/>
    </row>
    <row r="19" spans="2:63" ht="12.75" customHeight="1">
      <c r="B19" s="55" t="str">
        <f>IF(OR(B12&gt;AT12,B12=AT12),CONCATENATE("Supérieure ou égale à ",AT12," an"),"")</f>
        <v>Supérieure ou égale à 1 an</v>
      </c>
      <c r="C19" s="56" t="str">
        <f>IF(OR(B12&gt;AT12,B12=AT12),"Oui","")</f>
        <v>Oui</v>
      </c>
      <c r="D19" s="17" t="str">
        <f>IF(C19="OUI",CONCATENATE(BC20*10," dixièmes de mois par année dans l'entreprise"),"")</f>
        <v>2 dixièmes de mois par année dans l'entreprise</v>
      </c>
      <c r="F19" s="60">
        <f>IF(C19="OUI",BC19,"")</f>
        <v>2</v>
      </c>
      <c r="K19" s="224"/>
      <c r="L19" s="224"/>
      <c r="M19" s="224"/>
      <c r="N19" s="224"/>
      <c r="O19" s="224"/>
      <c r="P19" s="224"/>
      <c r="Q19" s="224"/>
      <c r="AS19" s="49" t="s">
        <v>44</v>
      </c>
      <c r="AT19" s="179">
        <f>AV12</f>
        <v>0.2</v>
      </c>
      <c r="AU19" s="50">
        <f>AW12+AV12</f>
        <v>0.33333333333333337</v>
      </c>
      <c r="AV19" s="47"/>
      <c r="AW19" s="47"/>
      <c r="AX19" s="47"/>
      <c r="AY19" s="47"/>
      <c r="AZ19" s="47" t="s">
        <v>40</v>
      </c>
      <c r="BA19" s="189"/>
      <c r="BB19" s="191"/>
      <c r="BC19" s="58">
        <f>MIN(B12,AT15)*LOOKUP(D11,$AS$16:$AS$20,$AT$16:$AT$20)</f>
        <v>2</v>
      </c>
      <c r="BD19" s="59">
        <f>MIN(B12-AT15,AU15-AT15+1)*LOOKUP($D$11,$AS$16:$AS$20,$AU$16:$AU$20)</f>
        <v>7.666666666666668</v>
      </c>
      <c r="BE19" s="58">
        <f>MIN(B12-AU15,AV15-AU15)*BE20</f>
        <v>0</v>
      </c>
      <c r="BF19" s="58">
        <f>MIN(B12-AV15,AW15-AV15)*BF20</f>
        <v>0</v>
      </c>
      <c r="BG19" s="58">
        <f>MIN((B12-AW15),AX15-AW15)*BG20</f>
        <v>0</v>
      </c>
      <c r="BH19" s="58">
        <f>ROUND((B12-AX15)*BH20,2)</f>
        <v>0</v>
      </c>
      <c r="BI19" s="58" t="str">
        <f>LOOKUP(D11,AS16:AS20,AZ16:AZ20)</f>
        <v>Néant</v>
      </c>
      <c r="BJ19" s="58">
        <f>LOOKUP(D11,AS16:AS20,BA16:BA20)</f>
        <v>0</v>
      </c>
      <c r="BK19" s="6"/>
    </row>
    <row r="20" spans="2:63" ht="12.75" customHeight="1">
      <c r="B20" s="17" t="str">
        <f>IF(B12&gt;AT15,AU14,"")</f>
        <v>au delà de 10 ans</v>
      </c>
      <c r="C20" s="56" t="str">
        <f>IF(B12&gt;AT15,"Oui","")</f>
        <v>Oui</v>
      </c>
      <c r="D20" s="196" t="str">
        <f>IF(C20="oui",CONCATENATE(BD20*10," dixièmes de mois par année ",B20),"")</f>
        <v>3,33 dixièmes de mois par année au delà de 10 ans</v>
      </c>
      <c r="F20" s="60">
        <f>IF(C20="oui",BD19,"")</f>
        <v>7.666666666666668</v>
      </c>
      <c r="K20" s="224"/>
      <c r="L20" s="224"/>
      <c r="M20" s="224"/>
      <c r="N20" s="224"/>
      <c r="O20" s="224"/>
      <c r="P20" s="224"/>
      <c r="Q20" s="224"/>
      <c r="AS20" s="173" t="s">
        <v>57</v>
      </c>
      <c r="AT20" s="180">
        <f>AV12</f>
        <v>0.2</v>
      </c>
      <c r="AU20" s="197">
        <f>AW12+AV12</f>
        <v>0.33333333333333337</v>
      </c>
      <c r="AV20" s="181"/>
      <c r="AW20" s="181"/>
      <c r="AX20" s="181"/>
      <c r="AY20" s="181"/>
      <c r="AZ20" s="181" t="s">
        <v>40</v>
      </c>
      <c r="BA20" s="190"/>
      <c r="BB20" s="191"/>
      <c r="BC20" s="26">
        <f>LOOKUP(D11,$AS$16:$AS$20,$AT$16:$AT$20)</f>
        <v>0.2</v>
      </c>
      <c r="BD20" s="198">
        <f>ROUND(LOOKUP($D$11,$AS$16:$AS$20,$AU$16:$AU$20),3)</f>
        <v>0.333</v>
      </c>
      <c r="BE20" s="26">
        <f>LOOKUP($D$11,$AS$16:$AS$20,$AV$16:$AV$20)</f>
        <v>0</v>
      </c>
      <c r="BF20" s="61">
        <f>LOOKUP($D$11,$AS$16:$AS$20,$AW$16:$AW$20)</f>
        <v>0</v>
      </c>
      <c r="BG20" s="26">
        <f>LOOKUP($D$11,$AS$16:$AS$20,$AX$16:$AX$20)</f>
        <v>0</v>
      </c>
      <c r="BH20" s="26">
        <f>LOOKUP($D$11,$AS$16:$AS$20,$AY$16:$AY$20)</f>
        <v>0</v>
      </c>
      <c r="BI20" s="58"/>
      <c r="BK20" s="6"/>
    </row>
    <row r="21" spans="2:63" ht="12.75" customHeight="1">
      <c r="B21" s="17" t="str">
        <f>IF(B12&gt;AU15,AV14," ")</f>
        <v> </v>
      </c>
      <c r="C21" s="56">
        <f>IF(B12&gt;AU15,"Oui","")</f>
      </c>
      <c r="D21" s="17">
        <f>IF(C21="oui",CONCATENATE(BE20*10," dixièmes de mois par année dans l'entreprise"),"")</f>
      </c>
      <c r="F21" s="60">
        <f>IF(C21="oui",BE19,"")</f>
      </c>
      <c r="K21" s="224"/>
      <c r="L21" s="224"/>
      <c r="M21" s="224"/>
      <c r="N21" s="224"/>
      <c r="O21" s="224"/>
      <c r="P21" s="224"/>
      <c r="Q21" s="224"/>
      <c r="AS21" s="62"/>
      <c r="AT21" s="63"/>
      <c r="AU21" s="63"/>
      <c r="AV21" s="63"/>
      <c r="AW21" s="63"/>
      <c r="AX21" s="63"/>
      <c r="AY21" s="63"/>
      <c r="AZ21" s="63"/>
      <c r="BA21" s="63"/>
      <c r="BB21" s="63"/>
      <c r="BC21" s="42"/>
      <c r="BD21" s="42"/>
      <c r="BE21" s="42"/>
      <c r="BF21" s="42"/>
      <c r="BG21" s="64" t="s">
        <v>13</v>
      </c>
      <c r="BH21" s="64"/>
      <c r="BI21" s="65">
        <f>IF(BD6&gt;BI20,AZ15,IF(BD6&gt;BI19,AY15,0))</f>
        <v>0</v>
      </c>
      <c r="BK21" s="6"/>
    </row>
    <row r="22" spans="2:63" ht="12.75" customHeight="1">
      <c r="B22" s="17">
        <f>IF(B12&gt;AV15,AW14,"")</f>
      </c>
      <c r="C22" s="56">
        <f>IF(B12&gt;AV15,"Oui","")</f>
      </c>
      <c r="D22" s="17">
        <f>IF(C22="oui",CONCATENATE(BF20*10," dixièmes de mois par année dans l'entreprise",""),"")</f>
      </c>
      <c r="F22" s="60">
        <f>IF(C22="OUI",BF19,"")</f>
      </c>
      <c r="K22" s="224"/>
      <c r="L22" s="224"/>
      <c r="M22" s="224"/>
      <c r="N22" s="224"/>
      <c r="O22" s="224"/>
      <c r="P22" s="224"/>
      <c r="Q22" s="224"/>
      <c r="AS22" s="62"/>
      <c r="AT22" s="63"/>
      <c r="AU22" s="63"/>
      <c r="AV22" s="63"/>
      <c r="AW22" s="63"/>
      <c r="AX22" s="63"/>
      <c r="AY22" s="63"/>
      <c r="AZ22" s="63"/>
      <c r="BA22" s="63"/>
      <c r="BB22" s="63"/>
      <c r="BC22" s="42"/>
      <c r="BD22" s="42"/>
      <c r="BE22" s="42"/>
      <c r="BF22" s="42"/>
      <c r="BG22" s="42"/>
      <c r="BH22" s="42"/>
      <c r="BK22" s="6"/>
    </row>
    <row r="23" spans="2:63" ht="12.75" customHeight="1">
      <c r="B23" s="17">
        <f>IF(B12&gt;AW15,AX14,"")</f>
      </c>
      <c r="C23" s="56">
        <f>IF(B12&gt;AW15,"Oui","")</f>
      </c>
      <c r="D23" s="17">
        <f>IF(C23="oui",CONCATENATE(BG20*10," dixièmes de mois par année dans l'entreprise"),"")</f>
      </c>
      <c r="F23" s="60">
        <f>IF(C23="OUI",BG19,"")</f>
      </c>
      <c r="K23" s="224"/>
      <c r="L23" s="224"/>
      <c r="M23" s="224"/>
      <c r="N23" s="224"/>
      <c r="O23" s="224"/>
      <c r="P23" s="224"/>
      <c r="Q23" s="224"/>
      <c r="AS23" s="62"/>
      <c r="AT23" s="63"/>
      <c r="AU23" s="63"/>
      <c r="AV23" s="63"/>
      <c r="AW23" s="63"/>
      <c r="AX23" s="63"/>
      <c r="AY23" s="63"/>
      <c r="AZ23" s="63"/>
      <c r="BA23" s="63"/>
      <c r="BB23" s="63"/>
      <c r="BC23" s="42"/>
      <c r="BD23" s="42"/>
      <c r="BE23" s="42"/>
      <c r="BF23" s="42"/>
      <c r="BG23" s="42"/>
      <c r="BH23" s="42"/>
      <c r="BK23" s="6"/>
    </row>
    <row r="24" spans="2:63" ht="12.75" customHeight="1">
      <c r="B24" s="182"/>
      <c r="C24" s="183">
        <f>IF(B12&gt;AX15,"Oui","")</f>
      </c>
      <c r="D24" s="182">
        <f>IF(C24="oui",CONCATENATE(BH20*10," dixièmes de mois par année dans l'entreprise"),"")</f>
      </c>
      <c r="F24" s="184">
        <f>IF(C24="Oui",BH19,"")</f>
      </c>
      <c r="K24" s="224"/>
      <c r="L24" s="224"/>
      <c r="M24" s="224"/>
      <c r="N24" s="224"/>
      <c r="O24" s="224"/>
      <c r="P24" s="224"/>
      <c r="Q24" s="224"/>
      <c r="AS24" s="63"/>
      <c r="AT24" s="63"/>
      <c r="AU24" s="63"/>
      <c r="AV24" s="63"/>
      <c r="AW24" s="63"/>
      <c r="AX24" s="63"/>
      <c r="AY24" s="63"/>
      <c r="AZ24" s="63"/>
      <c r="BA24" s="63"/>
      <c r="BB24" s="63"/>
      <c r="BC24" s="42"/>
      <c r="BD24" s="42"/>
      <c r="BE24" s="42"/>
      <c r="BF24" s="42"/>
      <c r="BG24" s="42"/>
      <c r="BH24" s="42"/>
      <c r="BK24" s="6"/>
    </row>
    <row r="25" spans="6:63" ht="12.75" customHeight="1">
      <c r="F25" s="74">
        <f>SUM(F19:F24)</f>
        <v>9.666666666666668</v>
      </c>
      <c r="K25" s="224"/>
      <c r="L25" s="224"/>
      <c r="M25" s="224"/>
      <c r="N25" s="224"/>
      <c r="O25" s="224"/>
      <c r="P25" s="224"/>
      <c r="Q25" s="224"/>
      <c r="AS25" s="63"/>
      <c r="AT25" s="63"/>
      <c r="AU25" s="63"/>
      <c r="AV25" s="63"/>
      <c r="AW25" s="63"/>
      <c r="AX25" s="63"/>
      <c r="AY25" s="63"/>
      <c r="AZ25" s="63"/>
      <c r="BA25" s="63"/>
      <c r="BB25" s="63"/>
      <c r="BC25" s="42"/>
      <c r="BD25" s="42"/>
      <c r="BE25" s="42"/>
      <c r="BF25" s="42"/>
      <c r="BG25" s="42"/>
      <c r="BH25" s="42"/>
      <c r="BK25" s="6"/>
    </row>
    <row r="26" spans="2:63" ht="12.75" customHeight="1">
      <c r="B26" s="185" t="s">
        <v>45</v>
      </c>
      <c r="C26" s="66" t="s">
        <v>46</v>
      </c>
      <c r="K26" s="224"/>
      <c r="L26" s="224"/>
      <c r="M26" s="224"/>
      <c r="N26" s="224"/>
      <c r="O26" s="224"/>
      <c r="P26" s="224"/>
      <c r="Q26" s="224"/>
      <c r="AS26" s="4"/>
      <c r="AT26" s="4"/>
      <c r="AU26" s="4"/>
      <c r="AV26" s="4"/>
      <c r="AW26" s="4"/>
      <c r="AX26" s="4"/>
      <c r="AY26" s="4"/>
      <c r="AZ26" s="4"/>
      <c r="BA26" s="4"/>
      <c r="BB26" s="4"/>
      <c r="BC26" s="1"/>
      <c r="BD26" s="1"/>
      <c r="BE26" s="1"/>
      <c r="BF26" s="1"/>
      <c r="BK26" s="6"/>
    </row>
    <row r="27" spans="2:63" ht="12.75">
      <c r="B27" s="17" t="str">
        <f>CONCATENATE("M-1          ",BK3)</f>
        <v>M-1          avril</v>
      </c>
      <c r="C27" s="208">
        <f>'Carton IDCC 489'!C27</f>
        <v>1000</v>
      </c>
      <c r="AS27" s="215"/>
      <c r="AT27" s="215"/>
      <c r="AU27" s="215"/>
      <c r="AV27" s="215"/>
      <c r="AW27" s="4"/>
      <c r="AX27" s="4"/>
      <c r="AY27" s="4"/>
      <c r="AZ27" s="4"/>
      <c r="BA27" s="4"/>
      <c r="BB27" s="4"/>
      <c r="BC27" s="1"/>
      <c r="BD27" s="1"/>
      <c r="BE27" s="1"/>
      <c r="BF27" s="1"/>
      <c r="BK27" s="6"/>
    </row>
    <row r="28" spans="2:63" ht="12.75" customHeight="1">
      <c r="B28" s="17" t="str">
        <f>CONCATENATE("M-2          ",BK4)</f>
        <v>M-2          mars</v>
      </c>
      <c r="C28" s="208">
        <f>'Carton IDCC 489'!C28</f>
        <v>1000</v>
      </c>
      <c r="K28" s="218" t="s">
        <v>66</v>
      </c>
      <c r="AS28" s="4"/>
      <c r="AT28" s="4"/>
      <c r="AU28" s="4"/>
      <c r="AV28" s="4"/>
      <c r="AW28" s="4"/>
      <c r="AX28" s="4"/>
      <c r="AY28" s="4"/>
      <c r="AZ28" s="4"/>
      <c r="BA28" s="4"/>
      <c r="BB28" s="4"/>
      <c r="BC28" s="1"/>
      <c r="BD28" s="1"/>
      <c r="BE28" s="1"/>
      <c r="BF28" s="1"/>
      <c r="BK28" s="6"/>
    </row>
    <row r="29" spans="2:63" ht="12.75">
      <c r="B29" s="17" t="str">
        <f>CONCATENATE("M-3          ",BK5)</f>
        <v>M-3          février</v>
      </c>
      <c r="C29" s="208">
        <f>'Carton IDCC 489'!C29</f>
        <v>1000</v>
      </c>
      <c r="K29" s="218"/>
      <c r="AS29" s="4"/>
      <c r="AT29" s="4"/>
      <c r="AU29" s="4"/>
      <c r="AV29" s="4"/>
      <c r="AW29" s="4"/>
      <c r="AX29" s="4"/>
      <c r="AY29" s="4"/>
      <c r="AZ29" s="4"/>
      <c r="BA29" s="4"/>
      <c r="BB29" s="4"/>
      <c r="BC29" s="1"/>
      <c r="BD29" s="1"/>
      <c r="BE29" s="1"/>
      <c r="BF29" s="1"/>
      <c r="BK29" s="6"/>
    </row>
    <row r="30" spans="2:63" ht="12.75">
      <c r="B30" s="17" t="str">
        <f>CONCATENATE("M-4          ",BK6)</f>
        <v>M-4          janvier</v>
      </c>
      <c r="C30" s="208">
        <f>'Carton IDCC 489'!C30</f>
        <v>1000</v>
      </c>
      <c r="K30" s="218"/>
      <c r="AS30" s="4"/>
      <c r="AT30" s="4"/>
      <c r="AU30" s="4"/>
      <c r="AV30" s="4"/>
      <c r="AW30" s="4"/>
      <c r="AX30" s="4"/>
      <c r="AY30" s="4"/>
      <c r="AZ30" s="4"/>
      <c r="BA30" s="4"/>
      <c r="BB30" s="4"/>
      <c r="BC30" s="1"/>
      <c r="BD30" s="1"/>
      <c r="BE30" s="1"/>
      <c r="BF30" s="1"/>
      <c r="BK30" s="6"/>
    </row>
    <row r="31" spans="2:62" ht="12.75">
      <c r="B31" s="17" t="str">
        <f>CONCATENATE("M-5          ",BK7)</f>
        <v>M-5          décembre</v>
      </c>
      <c r="C31" s="208">
        <f>'Carton IDCC 489'!C31</f>
        <v>2000</v>
      </c>
      <c r="K31" s="218"/>
      <c r="BC31" s="14"/>
      <c r="BD31" s="14"/>
      <c r="BE31" s="14"/>
      <c r="BF31" s="14"/>
      <c r="BG31" s="14"/>
      <c r="BH31" s="14"/>
      <c r="BI31" s="14"/>
      <c r="BJ31" s="14"/>
    </row>
    <row r="32" spans="2:62" ht="12.75">
      <c r="B32" s="17" t="str">
        <f>CONCATENATE("M-6          ",BK8)</f>
        <v>M-6          novembre</v>
      </c>
      <c r="C32" s="208">
        <f>'Carton IDCC 489'!C32</f>
        <v>1000</v>
      </c>
      <c r="BC32" s="14"/>
      <c r="BD32" s="14"/>
      <c r="BE32" s="14"/>
      <c r="BF32" s="14"/>
      <c r="BG32" s="14"/>
      <c r="BH32" s="14"/>
      <c r="BI32" s="14"/>
      <c r="BJ32" s="14"/>
    </row>
    <row r="33" spans="2:62" ht="12.75">
      <c r="B33" s="17" t="str">
        <f>CONCATENATE("M-7          ",BK9)</f>
        <v>M-7          octobre</v>
      </c>
      <c r="C33" s="208">
        <f>'Carton IDCC 489'!C33</f>
        <v>1000</v>
      </c>
      <c r="BC33" s="14"/>
      <c r="BD33" s="14"/>
      <c r="BE33" s="14"/>
      <c r="BF33" s="14"/>
      <c r="BG33" s="14"/>
      <c r="BH33" s="14"/>
      <c r="BI33" s="14"/>
      <c r="BJ33" s="14"/>
    </row>
    <row r="34" spans="2:62" ht="12.75">
      <c r="B34" s="17" t="str">
        <f>CONCATENATE("M-8          ",BK10)</f>
        <v>M-8          septembre</v>
      </c>
      <c r="C34" s="208">
        <f>'Carton IDCC 489'!C34</f>
        <v>1000</v>
      </c>
      <c r="BC34" s="14"/>
      <c r="BD34" s="14"/>
      <c r="BE34" s="14"/>
      <c r="BF34" s="14"/>
      <c r="BG34" s="14"/>
      <c r="BH34" s="14"/>
      <c r="BI34" s="14"/>
      <c r="BJ34" s="14"/>
    </row>
    <row r="35" spans="2:62" ht="12.75">
      <c r="B35" s="17" t="str">
        <f>CONCATENATE("M-9          ",BK11)</f>
        <v>M-9          août</v>
      </c>
      <c r="C35" s="208">
        <f>'Carton IDCC 489'!C35</f>
        <v>1000</v>
      </c>
      <c r="BC35" s="14"/>
      <c r="BD35" s="14"/>
      <c r="BE35" s="14"/>
      <c r="BF35" s="14"/>
      <c r="BG35" s="14"/>
      <c r="BH35" s="14"/>
      <c r="BI35" s="14"/>
      <c r="BJ35" s="14"/>
    </row>
    <row r="36" spans="2:62" ht="12.75">
      <c r="B36" s="17" t="str">
        <f>CONCATENATE("M-10         ",BK12)</f>
        <v>M-10         juillet</v>
      </c>
      <c r="C36" s="208">
        <f>'Carton IDCC 489'!C36</f>
        <v>1000</v>
      </c>
      <c r="D36" s="75"/>
      <c r="BC36" s="14"/>
      <c r="BD36" s="14"/>
      <c r="BE36" s="14"/>
      <c r="BF36" s="14"/>
      <c r="BG36" s="14"/>
      <c r="BH36" s="14"/>
      <c r="BI36" s="14"/>
      <c r="BJ36" s="14"/>
    </row>
    <row r="37" spans="2:62" ht="12.75">
      <c r="B37" s="17" t="str">
        <f>CONCATENATE("M-11         ",BK13)</f>
        <v>M-11         juin</v>
      </c>
      <c r="C37" s="208">
        <f>'Carton IDCC 489'!C37</f>
        <v>1000</v>
      </c>
      <c r="BC37" s="14"/>
      <c r="BD37" s="14"/>
      <c r="BE37" s="14"/>
      <c r="BF37" s="14"/>
      <c r="BG37" s="14"/>
      <c r="BH37" s="14"/>
      <c r="BI37" s="14"/>
      <c r="BJ37" s="14"/>
    </row>
    <row r="38" spans="2:62" ht="12.75">
      <c r="B38" s="17" t="str">
        <f>CONCATENATE("M-12         ",BK14)</f>
        <v>M-12         mai</v>
      </c>
      <c r="C38" s="208">
        <f>'Carton IDCC 489'!C38</f>
        <v>1000</v>
      </c>
      <c r="BC38" s="14"/>
      <c r="BD38" s="14"/>
      <c r="BE38" s="14"/>
      <c r="BF38" s="14"/>
      <c r="BG38" s="14"/>
      <c r="BH38" s="14"/>
      <c r="BI38" s="14"/>
      <c r="BJ38" s="14"/>
    </row>
    <row r="39" spans="3:62" ht="12.75">
      <c r="C39" s="68">
        <f>SUM(C27:C38)/COUNTA(C27:C38)</f>
        <v>1083.3333333333333</v>
      </c>
      <c r="BC39" s="14"/>
      <c r="BD39" s="14"/>
      <c r="BE39" s="14"/>
      <c r="BF39" s="14"/>
      <c r="BG39" s="14"/>
      <c r="BH39" s="14"/>
      <c r="BI39" s="14"/>
      <c r="BJ39" s="14"/>
    </row>
    <row r="40" spans="55:62" ht="12.75">
      <c r="BC40" s="14"/>
      <c r="BD40" s="14"/>
      <c r="BE40" s="14"/>
      <c r="BF40" s="14"/>
      <c r="BG40" s="14"/>
      <c r="BH40" s="14"/>
      <c r="BI40" s="14"/>
      <c r="BJ40" s="14"/>
    </row>
    <row r="41" spans="2:62" ht="12.75">
      <c r="B41" s="185" t="s">
        <v>45</v>
      </c>
      <c r="C41" s="66" t="s">
        <v>47</v>
      </c>
      <c r="BC41" s="14"/>
      <c r="BD41" s="14"/>
      <c r="BE41" s="14"/>
      <c r="BF41" s="14"/>
      <c r="BG41" s="14"/>
      <c r="BH41" s="14"/>
      <c r="BI41" s="14"/>
      <c r="BJ41" s="14"/>
    </row>
    <row r="42" spans="2:62" ht="12.75">
      <c r="B42" s="17" t="str">
        <f aca="true" t="shared" si="1" ref="B42:C44">B27</f>
        <v>M-1          avril</v>
      </c>
      <c r="C42" s="69">
        <f t="shared" si="1"/>
        <v>1000</v>
      </c>
      <c r="BC42" s="14"/>
      <c r="BD42" s="14"/>
      <c r="BE42" s="14"/>
      <c r="BF42" s="14"/>
      <c r="BG42" s="14"/>
      <c r="BH42" s="14"/>
      <c r="BI42" s="14"/>
      <c r="BJ42" s="14"/>
    </row>
    <row r="43" spans="2:62" ht="12.75">
      <c r="B43" s="17" t="str">
        <f t="shared" si="1"/>
        <v>M-2          mars</v>
      </c>
      <c r="C43" s="69">
        <f t="shared" si="1"/>
        <v>1000</v>
      </c>
      <c r="BC43" s="14"/>
      <c r="BD43" s="14"/>
      <c r="BE43" s="14"/>
      <c r="BF43" s="14"/>
      <c r="BG43" s="14"/>
      <c r="BH43" s="14"/>
      <c r="BI43" s="14"/>
      <c r="BJ43" s="14"/>
    </row>
    <row r="44" spans="2:62" ht="12.75">
      <c r="B44" s="17" t="str">
        <f t="shared" si="1"/>
        <v>M-3          février</v>
      </c>
      <c r="C44" s="69">
        <f t="shared" si="1"/>
        <v>1000</v>
      </c>
      <c r="BC44" s="14"/>
      <c r="BD44" s="14"/>
      <c r="BE44" s="14"/>
      <c r="BF44" s="14"/>
      <c r="BG44" s="14"/>
      <c r="BH44" s="14"/>
      <c r="BI44" s="14"/>
      <c r="BJ44" s="14"/>
    </row>
    <row r="45" spans="3:62" ht="12.75">
      <c r="C45" s="68">
        <f>SUM(C42:C44)/COUNTA(C42:C44)</f>
        <v>1000</v>
      </c>
      <c r="BC45" s="14"/>
      <c r="BD45" s="14"/>
      <c r="BE45" s="14"/>
      <c r="BF45" s="14"/>
      <c r="BG45" s="14"/>
      <c r="BH45" s="14"/>
      <c r="BI45" s="14"/>
      <c r="BJ45" s="14"/>
    </row>
    <row r="46" spans="55:62" ht="12.75">
      <c r="BC46" s="14"/>
      <c r="BD46" s="14"/>
      <c r="BE46" s="14"/>
      <c r="BF46" s="14"/>
      <c r="BG46" s="14"/>
      <c r="BH46" s="14"/>
      <c r="BI46" s="14"/>
      <c r="BJ46" s="14"/>
    </row>
    <row r="47" spans="2:62" ht="12.75">
      <c r="B47" s="212" t="s">
        <v>48</v>
      </c>
      <c r="C47" s="212"/>
      <c r="BC47" s="14"/>
      <c r="BD47" s="14"/>
      <c r="BE47" s="14"/>
      <c r="BF47" s="14"/>
      <c r="BG47" s="14"/>
      <c r="BH47" s="14"/>
      <c r="BI47" s="14"/>
      <c r="BJ47" s="14"/>
    </row>
    <row r="48" spans="2:62" ht="15">
      <c r="B48" s="216">
        <f>MAX(C39,C45)</f>
        <v>1083.3333333333333</v>
      </c>
      <c r="C48" s="216"/>
      <c r="D48" s="70" t="str">
        <f>IF(B48=C45,"&lt;= Moyenne des 3 derniers mois",IF(B48=C39,"&lt;=Moyenne sur un an",""))</f>
        <v>&lt;=Moyenne sur un an</v>
      </c>
      <c r="BC48" s="71"/>
      <c r="BD48" s="71"/>
      <c r="BE48" s="14"/>
      <c r="BF48" s="14"/>
      <c r="BG48" s="14"/>
      <c r="BH48" s="14"/>
      <c r="BI48" s="14"/>
      <c r="BJ48" s="14"/>
    </row>
    <row r="49" spans="55:62" ht="12.75">
      <c r="BC49" s="14"/>
      <c r="BD49" s="14"/>
      <c r="BE49" s="14"/>
      <c r="BF49" s="14"/>
      <c r="BG49" s="14"/>
      <c r="BH49" s="14"/>
      <c r="BI49" s="14"/>
      <c r="BJ49" s="14"/>
    </row>
    <row r="50" spans="2:62" ht="12.75">
      <c r="B50" s="217"/>
      <c r="C50" s="217"/>
      <c r="BC50" s="14"/>
      <c r="BD50" s="14"/>
      <c r="BE50" s="14"/>
      <c r="BF50" s="14"/>
      <c r="BG50" s="14"/>
      <c r="BH50" s="14"/>
      <c r="BI50" s="14"/>
      <c r="BJ50" s="14"/>
    </row>
    <row r="51" spans="2:62" ht="12.75">
      <c r="B51" s="73"/>
      <c r="C51" s="72"/>
      <c r="D51" s="72"/>
      <c r="BC51" s="14"/>
      <c r="BD51" s="14"/>
      <c r="BE51" s="14"/>
      <c r="BF51" s="14"/>
      <c r="BG51" s="14"/>
      <c r="BH51" s="14"/>
      <c r="BI51" s="14"/>
      <c r="BJ51" s="14"/>
    </row>
    <row r="52" spans="2:62" ht="12.75">
      <c r="B52" s="73"/>
      <c r="C52" s="72"/>
      <c r="D52" s="72"/>
      <c r="BC52" s="14"/>
      <c r="BD52" s="14"/>
      <c r="BE52" s="14"/>
      <c r="BF52" s="14"/>
      <c r="BG52" s="14"/>
      <c r="BH52" s="14"/>
      <c r="BI52" s="14"/>
      <c r="BJ52" s="14"/>
    </row>
    <row r="53" spans="2:62" ht="12.75">
      <c r="B53" s="21"/>
      <c r="C53" s="199"/>
      <c r="BC53" s="14"/>
      <c r="BD53" s="14"/>
      <c r="BE53" s="14"/>
      <c r="BF53" s="14"/>
      <c r="BG53" s="14"/>
      <c r="BH53" s="14"/>
      <c r="BI53" s="14"/>
      <c r="BJ53" s="14"/>
    </row>
    <row r="54" spans="2:62" ht="12.75">
      <c r="B54" s="186"/>
      <c r="C54" s="200"/>
      <c r="D54" s="73"/>
      <c r="BC54" s="14"/>
      <c r="BD54" s="14"/>
      <c r="BE54" s="14"/>
      <c r="BF54" s="14"/>
      <c r="BG54" s="14"/>
      <c r="BH54" s="14"/>
      <c r="BI54" s="14"/>
      <c r="BJ54" s="14"/>
    </row>
    <row r="55" spans="2:62" ht="12.75">
      <c r="B55" s="201" t="s">
        <v>59</v>
      </c>
      <c r="C55" s="176">
        <f>BG14</f>
        <v>9.67</v>
      </c>
      <c r="BC55" s="14"/>
      <c r="BD55" s="14"/>
      <c r="BE55" s="14"/>
      <c r="BF55" s="14"/>
      <c r="BG55" s="14"/>
      <c r="BH55" s="14"/>
      <c r="BI55" s="14"/>
      <c r="BJ55" s="14"/>
    </row>
    <row r="56" spans="55:62" ht="12.75">
      <c r="BC56" s="14"/>
      <c r="BD56" s="14"/>
      <c r="BE56" s="14"/>
      <c r="BF56" s="14"/>
      <c r="BG56" s="14"/>
      <c r="BH56" s="14"/>
      <c r="BI56" s="14"/>
      <c r="BJ56" s="14"/>
    </row>
    <row r="57" spans="2:62" ht="12.75">
      <c r="B57" s="212" t="s">
        <v>50</v>
      </c>
      <c r="C57" s="212"/>
      <c r="BC57" s="14"/>
      <c r="BD57" s="14"/>
      <c r="BE57" s="14"/>
      <c r="BF57" s="14"/>
      <c r="BG57" s="14"/>
      <c r="BH57" s="14"/>
      <c r="BI57" s="14"/>
      <c r="BJ57" s="14"/>
    </row>
    <row r="58" spans="2:62" ht="15.75">
      <c r="B58" s="213">
        <f>ROUND(MAX(BG14,C54)*B48,3)</f>
        <v>10475.833</v>
      </c>
      <c r="C58" s="213"/>
      <c r="D58" s="187" t="str">
        <f>IF(BG14&gt;C54,"&lt;= Indemnité légale","&lt;= Indemnité conventionnelle")</f>
        <v>&lt;= Indemnité légale</v>
      </c>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BC58" s="14"/>
      <c r="BD58" s="14"/>
      <c r="BE58" s="14"/>
      <c r="BF58" s="14"/>
      <c r="BG58" s="14"/>
      <c r="BH58" s="14"/>
      <c r="BI58" s="14"/>
      <c r="BJ58" s="14"/>
    </row>
    <row r="59" spans="55:62" ht="12.75">
      <c r="BC59" s="14"/>
      <c r="BD59" s="14"/>
      <c r="BE59" s="14"/>
      <c r="BF59" s="14"/>
      <c r="BG59" s="14"/>
      <c r="BH59" s="14"/>
      <c r="BI59" s="14"/>
      <c r="BJ59" s="14"/>
    </row>
    <row r="60" spans="2:62" ht="12.75">
      <c r="B60" s="209" t="s">
        <v>63</v>
      </c>
      <c r="C60" s="209"/>
      <c r="D60" s="209"/>
      <c r="E60" s="209"/>
      <c r="F60" s="209"/>
      <c r="G60" s="209"/>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BC60" s="14"/>
      <c r="BD60" s="14"/>
      <c r="BE60" s="14"/>
      <c r="BF60" s="14"/>
      <c r="BG60" s="14"/>
      <c r="BH60" s="14"/>
      <c r="BI60" s="14"/>
      <c r="BJ60" s="14"/>
    </row>
    <row r="61" spans="2:62" ht="12.75">
      <c r="B61" s="209"/>
      <c r="C61" s="209"/>
      <c r="D61" s="209"/>
      <c r="E61" s="209"/>
      <c r="F61" s="209"/>
      <c r="G61" s="209"/>
      <c r="BC61" s="14"/>
      <c r="BD61" s="14"/>
      <c r="BE61" s="14"/>
      <c r="BF61" s="14"/>
      <c r="BG61" s="14"/>
      <c r="BH61" s="14"/>
      <c r="BI61" s="14"/>
      <c r="BJ61" s="14"/>
    </row>
    <row r="62" spans="2:62" ht="12.75">
      <c r="B62" s="209"/>
      <c r="C62" s="209"/>
      <c r="D62" s="209"/>
      <c r="E62" s="209"/>
      <c r="F62" s="209"/>
      <c r="G62" s="209"/>
      <c r="BC62" s="14"/>
      <c r="BD62" s="14"/>
      <c r="BE62" s="14"/>
      <c r="BF62" s="14"/>
      <c r="BG62" s="14"/>
      <c r="BH62" s="14"/>
      <c r="BI62" s="14"/>
      <c r="BJ62" s="14"/>
    </row>
    <row r="63" spans="2:62" ht="12.75">
      <c r="B63" s="209"/>
      <c r="C63" s="209"/>
      <c r="D63" s="209"/>
      <c r="E63" s="209"/>
      <c r="F63" s="209"/>
      <c r="G63" s="209"/>
      <c r="BC63" s="14"/>
      <c r="BD63" s="14"/>
      <c r="BE63" s="14"/>
      <c r="BF63" s="14"/>
      <c r="BG63" s="14"/>
      <c r="BH63" s="14"/>
      <c r="BI63" s="14"/>
      <c r="BJ63" s="14"/>
    </row>
    <row r="64" spans="55:62" ht="12.75">
      <c r="BC64" s="14"/>
      <c r="BD64" s="14"/>
      <c r="BE64" s="14"/>
      <c r="BF64" s="14"/>
      <c r="BG64" s="14"/>
      <c r="BH64" s="14"/>
      <c r="BI64" s="14"/>
      <c r="BJ64" s="14"/>
    </row>
    <row r="65" spans="55:62" ht="12.75">
      <c r="BC65" s="14"/>
      <c r="BD65" s="14"/>
      <c r="BE65" s="14"/>
      <c r="BF65" s="14"/>
      <c r="BG65" s="14"/>
      <c r="BH65" s="14"/>
      <c r="BI65" s="14"/>
      <c r="BJ65" s="14"/>
    </row>
    <row r="66" spans="55:62" ht="12.75">
      <c r="BC66" s="14"/>
      <c r="BD66" s="14"/>
      <c r="BE66" s="14"/>
      <c r="BF66" s="14"/>
      <c r="BG66" s="14"/>
      <c r="BH66" s="14"/>
      <c r="BI66" s="14"/>
      <c r="BJ66" s="14"/>
    </row>
    <row r="67" spans="55:62" ht="12.75">
      <c r="BC67" s="14"/>
      <c r="BD67" s="14"/>
      <c r="BE67" s="14"/>
      <c r="BF67" s="14"/>
      <c r="BG67" s="14"/>
      <c r="BH67" s="14"/>
      <c r="BI67" s="14"/>
      <c r="BJ67" s="14"/>
    </row>
    <row r="68" spans="55:62" ht="12.75">
      <c r="BC68" s="14"/>
      <c r="BD68" s="14"/>
      <c r="BE68" s="14"/>
      <c r="BF68" s="14"/>
      <c r="BG68" s="14"/>
      <c r="BH68" s="14"/>
      <c r="BI68" s="14"/>
      <c r="BJ68" s="14"/>
    </row>
    <row r="69" spans="55:62" ht="12.75">
      <c r="BC69" s="14"/>
      <c r="BD69" s="14"/>
      <c r="BE69" s="14"/>
      <c r="BF69" s="14"/>
      <c r="BG69" s="14"/>
      <c r="BH69" s="14"/>
      <c r="BI69" s="14"/>
      <c r="BJ69" s="14"/>
    </row>
    <row r="70" spans="55:62" ht="12.75">
      <c r="BC70" s="14"/>
      <c r="BD70" s="14"/>
      <c r="BE70" s="14"/>
      <c r="BF70" s="14"/>
      <c r="BG70" s="14"/>
      <c r="BH70" s="14"/>
      <c r="BI70" s="14"/>
      <c r="BJ70" s="14"/>
    </row>
    <row r="71" spans="55:62" ht="12.75">
      <c r="BC71" s="14"/>
      <c r="BD71" s="14"/>
      <c r="BE71" s="14"/>
      <c r="BF71" s="14"/>
      <c r="BG71" s="14"/>
      <c r="BH71" s="14"/>
      <c r="BI71" s="14"/>
      <c r="BJ71" s="14"/>
    </row>
  </sheetData>
  <sheetProtection password="D8BB" sheet="1" objects="1" scenarios="1" selectLockedCells="1"/>
  <mergeCells count="19">
    <mergeCell ref="BG13:BH13"/>
    <mergeCell ref="BG14:BH14"/>
    <mergeCell ref="B17:D17"/>
    <mergeCell ref="B2:G2"/>
    <mergeCell ref="B3:F3"/>
    <mergeCell ref="B11:C11"/>
    <mergeCell ref="F11:G11"/>
    <mergeCell ref="L3:Q9"/>
    <mergeCell ref="K11:Q26"/>
    <mergeCell ref="AS27:AV27"/>
    <mergeCell ref="B47:C47"/>
    <mergeCell ref="B48:C48"/>
    <mergeCell ref="B50:C50"/>
    <mergeCell ref="K28:K31"/>
    <mergeCell ref="B60:G63"/>
    <mergeCell ref="D6:E9"/>
    <mergeCell ref="B57:C57"/>
    <mergeCell ref="B58:C58"/>
    <mergeCell ref="B13:C13"/>
  </mergeCells>
  <conditionalFormatting sqref="B58:C58">
    <cfRule type="cellIs" priority="1" dxfId="0" operator="greaterThan" stopIfTrue="1">
      <formula>$B$48*20</formula>
    </cfRule>
  </conditionalFormatting>
  <conditionalFormatting sqref="D6:E9">
    <cfRule type="cellIs" priority="2" dxfId="1" operator="equal" stopIfTrue="1">
      <formula>"nom"</formula>
    </cfRule>
  </conditionalFormatting>
  <dataValidations count="1">
    <dataValidation type="list" allowBlank="1" showErrorMessage="1" sqref="D11">
      <formula1>$AS$16:$AS$20</formula1>
      <formula2>0</formula2>
    </dataValidation>
  </dataValidations>
  <printOptions/>
  <pageMargins left="0.2361111111111111" right="0.2361111111111111" top="0.19652777777777777" bottom="0.19652777777777777" header="0.5118055555555555" footer="0.5118055555555555"/>
  <pageSetup horizontalDpi="300" verticalDpi="300" orientation="portrait" paperSize="9" r:id="rId5"/>
  <drawing r:id="rId4"/>
  <legacyDrawing r:id="rId3"/>
  <oleObjects>
    <oleObject progId="Document" dvAspect="DVASPECT_ICON" shapeId="1273891" r:id="rId1"/>
    <oleObject progId="Document" dvAspect="DVASPECT_ICON" shapeId="1273892"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Bruno CARRARO</cp:lastModifiedBy>
  <cp:lastPrinted>2013-05-24T11:14:42Z</cp:lastPrinted>
  <dcterms:created xsi:type="dcterms:W3CDTF">2013-05-20T14:15:02Z</dcterms:created>
  <dcterms:modified xsi:type="dcterms:W3CDTF">2013-05-24T12:09:56Z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